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риф тепло 2026-2027\"/>
    </mc:Choice>
  </mc:AlternateContent>
  <xr:revisionPtr revIDLastSave="0" documentId="13_ncr:1_{606DBCCB-69A2-46C6-980B-960CD071F3DB}" xr6:coauthVersionLast="47" xr6:coauthVersionMax="47" xr10:uidLastSave="{00000000-0000-0000-0000-000000000000}"/>
  <bookViews>
    <workbookView xWindow="-108" yWindow="-108" windowWidth="23256" windowHeight="12456" firstSheet="5" activeTab="8" xr2:uid="{00000000-000D-0000-FFFF-FFFF00000000}"/>
  </bookViews>
  <sheets>
    <sheet name="Вироб ТЕ" sheetId="1" r:id="rId1"/>
    <sheet name="Транспорт ТЕ" sheetId="3" state="hidden" r:id="rId2"/>
    <sheet name="Постачання ТЕ " sheetId="5" state="hidden" r:id="rId3"/>
    <sheet name="загальна структура" sheetId="7" state="hidden" r:id="rId4"/>
    <sheet name="Аркуш2" sheetId="20" state="hidden" r:id="rId5"/>
    <sheet name="виробництво" sheetId="10" r:id="rId6"/>
    <sheet name="транспортування" sheetId="11" r:id="rId7"/>
    <sheet name="постачання" sheetId="12" r:id="rId8"/>
    <sheet name=" послуги те" sheetId="13" r:id="rId9"/>
    <sheet name="ТЕ" sheetId="23" r:id="rId10"/>
    <sheet name="загальна структура (2)" sheetId="17" state="hidden" r:id="rId11"/>
    <sheet name="Аркуш5 (2)" sheetId="18" state="hidden" r:id="rId12"/>
    <sheet name="Аркуш5" sheetId="14" state="hidden" r:id="rId13"/>
    <sheet name="Аркуш1" sheetId="15" state="hidden" r:id="rId1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3" l="1"/>
  <c r="H10" i="23"/>
  <c r="I10" i="23"/>
  <c r="I9" i="23" s="1"/>
  <c r="J10" i="23"/>
  <c r="J9" i="23" s="1"/>
  <c r="M10" i="23"/>
  <c r="N10" i="23"/>
  <c r="G11" i="23"/>
  <c r="O11" i="23" s="1"/>
  <c r="P11" i="23" s="1"/>
  <c r="H11" i="23"/>
  <c r="I11" i="23"/>
  <c r="J11" i="23"/>
  <c r="K11" i="23"/>
  <c r="K9" i="23" s="1"/>
  <c r="L11" i="23"/>
  <c r="L9" i="23" s="1"/>
  <c r="M11" i="23"/>
  <c r="N11" i="23"/>
  <c r="G12" i="23"/>
  <c r="O12" i="23" s="1"/>
  <c r="P12" i="23" s="1"/>
  <c r="H12" i="23"/>
  <c r="I12" i="23"/>
  <c r="J12" i="23"/>
  <c r="M12" i="23"/>
  <c r="N12" i="23"/>
  <c r="O13" i="23"/>
  <c r="P13" i="23" s="1"/>
  <c r="O14" i="23"/>
  <c r="P14" i="23"/>
  <c r="O15" i="23"/>
  <c r="P15" i="23"/>
  <c r="G16" i="23"/>
  <c r="O16" i="23" s="1"/>
  <c r="P16" i="23" s="1"/>
  <c r="H16" i="23"/>
  <c r="I16" i="23"/>
  <c r="J16" i="23"/>
  <c r="M16" i="23"/>
  <c r="N16" i="23"/>
  <c r="G17" i="23"/>
  <c r="H17" i="23"/>
  <c r="I17" i="23"/>
  <c r="J17" i="23"/>
  <c r="M17" i="23"/>
  <c r="N17" i="23"/>
  <c r="G18" i="23"/>
  <c r="O18" i="23" s="1"/>
  <c r="P18" i="23" s="1"/>
  <c r="H18" i="23"/>
  <c r="I18" i="23"/>
  <c r="J18" i="23"/>
  <c r="M18" i="23"/>
  <c r="N18" i="23"/>
  <c r="G20" i="23"/>
  <c r="H20" i="23"/>
  <c r="I20" i="23"/>
  <c r="J20" i="23"/>
  <c r="M20" i="23"/>
  <c r="N20" i="23"/>
  <c r="G21" i="23"/>
  <c r="O21" i="23" s="1"/>
  <c r="P21" i="23" s="1"/>
  <c r="H21" i="23"/>
  <c r="I21" i="23"/>
  <c r="J21" i="23"/>
  <c r="M21" i="23"/>
  <c r="N21" i="23"/>
  <c r="G23" i="23"/>
  <c r="H23" i="23"/>
  <c r="I23" i="23"/>
  <c r="J23" i="23"/>
  <c r="M23" i="23"/>
  <c r="N23" i="23"/>
  <c r="G24" i="23"/>
  <c r="O24" i="23" s="1"/>
  <c r="P24" i="23" s="1"/>
  <c r="H24" i="23"/>
  <c r="I24" i="23"/>
  <c r="J24" i="23"/>
  <c r="M24" i="23"/>
  <c r="N24" i="23"/>
  <c r="G26" i="23"/>
  <c r="H26" i="23"/>
  <c r="I26" i="23"/>
  <c r="J26" i="23"/>
  <c r="M26" i="23"/>
  <c r="N26" i="23"/>
  <c r="G27" i="23"/>
  <c r="O27" i="23" s="1"/>
  <c r="P27" i="23" s="1"/>
  <c r="H27" i="23"/>
  <c r="I27" i="23"/>
  <c r="J27" i="23"/>
  <c r="M27" i="23"/>
  <c r="N27" i="23"/>
  <c r="G28" i="23"/>
  <c r="G29" i="23" s="1"/>
  <c r="H28" i="23"/>
  <c r="H29" i="23" s="1"/>
  <c r="I28" i="23"/>
  <c r="I29" i="23" s="1"/>
  <c r="J28" i="23"/>
  <c r="J29" i="23" s="1"/>
  <c r="M28" i="23"/>
  <c r="M29" i="23" s="1"/>
  <c r="N28" i="23"/>
  <c r="O28" i="23"/>
  <c r="P28" i="23"/>
  <c r="N29" i="23"/>
  <c r="G30" i="23"/>
  <c r="H30" i="23"/>
  <c r="I30" i="23"/>
  <c r="J30" i="23"/>
  <c r="M30" i="23"/>
  <c r="O30" i="23"/>
  <c r="P30" i="23" s="1"/>
  <c r="O31" i="23"/>
  <c r="H32" i="23"/>
  <c r="O33" i="23"/>
  <c r="P33" i="23" s="1"/>
  <c r="G35" i="23"/>
  <c r="I35" i="23"/>
  <c r="K35" i="23"/>
  <c r="M35" i="23"/>
  <c r="G36" i="23"/>
  <c r="I36" i="23"/>
  <c r="K36" i="23"/>
  <c r="K34" i="23" s="1"/>
  <c r="M36" i="23"/>
  <c r="G37" i="23"/>
  <c r="O37" i="23" s="1"/>
  <c r="P37" i="23" s="1"/>
  <c r="H37" i="23"/>
  <c r="H35" i="23" s="1"/>
  <c r="H34" i="23" s="1"/>
  <c r="I37" i="23"/>
  <c r="J37" i="23"/>
  <c r="J35" i="23" s="1"/>
  <c r="J34" i="23" s="1"/>
  <c r="K37" i="23"/>
  <c r="L37" i="23"/>
  <c r="M37" i="23"/>
  <c r="N37" i="23"/>
  <c r="H38" i="23"/>
  <c r="J38" i="23"/>
  <c r="L38" i="23"/>
  <c r="N38" i="23"/>
  <c r="O38" i="23"/>
  <c r="P38" i="23"/>
  <c r="H39" i="23"/>
  <c r="H42" i="23" s="1"/>
  <c r="H49" i="23" s="1"/>
  <c r="O40" i="23"/>
  <c r="N22" i="13"/>
  <c r="N26" i="13"/>
  <c r="J8" i="13"/>
  <c r="J9" i="13"/>
  <c r="N8" i="12"/>
  <c r="N24" i="12"/>
  <c r="N8" i="11"/>
  <c r="N26" i="11"/>
  <c r="N27" i="11"/>
  <c r="N28" i="11"/>
  <c r="H49" i="13"/>
  <c r="H10" i="10"/>
  <c r="N27" i="10"/>
  <c r="J27" i="10"/>
  <c r="H27" i="10"/>
  <c r="N9" i="11"/>
  <c r="J8" i="11"/>
  <c r="N18" i="11"/>
  <c r="M8" i="10"/>
  <c r="M9" i="10"/>
  <c r="J50" i="12"/>
  <c r="H20" i="12"/>
  <c r="N29" i="12"/>
  <c r="J27" i="11"/>
  <c r="H27" i="11"/>
  <c r="N37" i="10"/>
  <c r="N37" i="13" s="1"/>
  <c r="N35" i="13" s="1"/>
  <c r="N23" i="10"/>
  <c r="N26" i="10"/>
  <c r="I8" i="10"/>
  <c r="N16" i="10"/>
  <c r="J16" i="10"/>
  <c r="J16" i="13" s="1"/>
  <c r="H16" i="10"/>
  <c r="H16" i="13" s="1"/>
  <c r="N10" i="10"/>
  <c r="J20" i="12"/>
  <c r="N18" i="10"/>
  <c r="H18" i="10"/>
  <c r="H11" i="10"/>
  <c r="P41" i="13"/>
  <c r="N20" i="10"/>
  <c r="N17" i="10"/>
  <c r="N17" i="13" s="1"/>
  <c r="J10" i="10"/>
  <c r="H19" i="10"/>
  <c r="N39" i="11"/>
  <c r="N22" i="11"/>
  <c r="N25" i="12"/>
  <c r="N21" i="12"/>
  <c r="N23" i="12"/>
  <c r="N30" i="12"/>
  <c r="N28" i="12"/>
  <c r="N23" i="11"/>
  <c r="N21" i="11" s="1"/>
  <c r="N19" i="11"/>
  <c r="H21" i="11"/>
  <c r="G25" i="23" l="1"/>
  <c r="N25" i="23"/>
  <c r="N19" i="23"/>
  <c r="H25" i="23"/>
  <c r="H19" i="23"/>
  <c r="G19" i="23"/>
  <c r="N35" i="23"/>
  <c r="N34" i="23" s="1"/>
  <c r="M34" i="23"/>
  <c r="M25" i="23"/>
  <c r="M19" i="23"/>
  <c r="O10" i="23"/>
  <c r="P10" i="23" s="1"/>
  <c r="L35" i="23"/>
  <c r="L34" i="23" s="1"/>
  <c r="I34" i="23"/>
  <c r="J25" i="23"/>
  <c r="J22" i="23"/>
  <c r="J19" i="23"/>
  <c r="N9" i="23"/>
  <c r="M9" i="23"/>
  <c r="H22" i="23"/>
  <c r="H9" i="23"/>
  <c r="H8" i="23" s="1"/>
  <c r="O36" i="23"/>
  <c r="P36" i="23" s="1"/>
  <c r="G22" i="23"/>
  <c r="O22" i="23" s="1"/>
  <c r="P22" i="23" s="1"/>
  <c r="G9" i="23"/>
  <c r="G8" i="23" s="1"/>
  <c r="N22" i="23"/>
  <c r="M22" i="23"/>
  <c r="P31" i="23"/>
  <c r="G34" i="23"/>
  <c r="I25" i="23"/>
  <c r="I22" i="23"/>
  <c r="I19" i="23"/>
  <c r="J8" i="23"/>
  <c r="J32" i="23" s="1"/>
  <c r="J39" i="23" s="1"/>
  <c r="J42" i="23" s="1"/>
  <c r="J49" i="23" s="1"/>
  <c r="O34" i="23"/>
  <c r="P34" i="23" s="1"/>
  <c r="O29" i="23"/>
  <c r="P29" i="23" s="1"/>
  <c r="I8" i="23"/>
  <c r="I32" i="23" s="1"/>
  <c r="I39" i="23" s="1"/>
  <c r="O26" i="23"/>
  <c r="P26" i="23" s="1"/>
  <c r="O23" i="23"/>
  <c r="P23" i="23" s="1"/>
  <c r="O20" i="23"/>
  <c r="P20" i="23" s="1"/>
  <c r="O17" i="23"/>
  <c r="P17" i="23" s="1"/>
  <c r="O35" i="23"/>
  <c r="P35" i="23" s="1"/>
  <c r="M8" i="23" l="1"/>
  <c r="M32" i="23" s="1"/>
  <c r="M39" i="23" s="1"/>
  <c r="O19" i="23"/>
  <c r="P19" i="23" s="1"/>
  <c r="N8" i="23"/>
  <c r="N32" i="23" s="1"/>
  <c r="N39" i="23" s="1"/>
  <c r="O25" i="23"/>
  <c r="P25" i="23" s="1"/>
  <c r="O9" i="23"/>
  <c r="P9" i="23" s="1"/>
  <c r="O8" i="23"/>
  <c r="P8" i="23" s="1"/>
  <c r="G32" i="23"/>
  <c r="N26" i="12"/>
  <c r="Q10" i="12"/>
  <c r="Q11" i="12"/>
  <c r="Q12" i="12"/>
  <c r="Q13" i="12"/>
  <c r="Q14" i="12"/>
  <c r="Q15" i="12"/>
  <c r="Q16" i="12"/>
  <c r="Q17" i="12"/>
  <c r="Q18" i="12"/>
  <c r="Q32" i="12"/>
  <c r="Q33" i="12"/>
  <c r="Q35" i="12"/>
  <c r="Q36" i="12"/>
  <c r="Q37" i="12"/>
  <c r="Q38" i="12"/>
  <c r="Q39" i="12"/>
  <c r="Q40" i="12"/>
  <c r="P42" i="12"/>
  <c r="Q42" i="12" s="1"/>
  <c r="J29" i="11"/>
  <c r="N20" i="11"/>
  <c r="J20" i="11"/>
  <c r="H20" i="11"/>
  <c r="N25" i="10"/>
  <c r="N24" i="10"/>
  <c r="N22" i="10" s="1"/>
  <c r="N29" i="11"/>
  <c r="N25" i="11"/>
  <c r="N14" i="11"/>
  <c r="N20" i="12"/>
  <c r="N18" i="13" s="1"/>
  <c r="M30" i="12"/>
  <c r="I30" i="12"/>
  <c r="G30" i="12"/>
  <c r="I24" i="11"/>
  <c r="M35" i="10"/>
  <c r="M35" i="13" s="1"/>
  <c r="M19" i="10"/>
  <c r="J37" i="10"/>
  <c r="H37" i="10"/>
  <c r="N42" i="23" l="1"/>
  <c r="N49" i="23"/>
  <c r="G39" i="23"/>
  <c r="O39" i="23" s="1"/>
  <c r="P39" i="23" s="1"/>
  <c r="O32" i="23"/>
  <c r="P32" i="23" s="1"/>
  <c r="H18" i="13"/>
  <c r="M28" i="13"/>
  <c r="M29" i="13" s="1"/>
  <c r="N29" i="13"/>
  <c r="J30" i="12"/>
  <c r="I28" i="13"/>
  <c r="I29" i="13" s="1"/>
  <c r="H30" i="12"/>
  <c r="H31" i="12" s="1"/>
  <c r="G28" i="13"/>
  <c r="G29" i="13" s="1"/>
  <c r="J31" i="12"/>
  <c r="J28" i="13"/>
  <c r="J29" i="13" s="1"/>
  <c r="N23" i="13"/>
  <c r="N24" i="13"/>
  <c r="N35" i="10"/>
  <c r="M12" i="13"/>
  <c r="H26" i="10"/>
  <c r="H26" i="13" s="1"/>
  <c r="N31" i="12" l="1"/>
  <c r="N28" i="13"/>
  <c r="H28" i="13"/>
  <c r="H29" i="13" s="1"/>
  <c r="R10" i="12"/>
  <c r="R11" i="12"/>
  <c r="R12" i="12"/>
  <c r="R13" i="12"/>
  <c r="S13" i="12" s="1"/>
  <c r="R14" i="12"/>
  <c r="R15" i="12"/>
  <c r="R16" i="12"/>
  <c r="R17" i="12"/>
  <c r="R18" i="12"/>
  <c r="R19" i="12"/>
  <c r="R20" i="12"/>
  <c r="R22" i="12"/>
  <c r="R23" i="12"/>
  <c r="R25" i="12"/>
  <c r="R26" i="12"/>
  <c r="R28" i="12"/>
  <c r="R29" i="12"/>
  <c r="R31" i="12"/>
  <c r="R32" i="12"/>
  <c r="R33" i="12"/>
  <c r="R35" i="12"/>
  <c r="R36" i="12"/>
  <c r="R37" i="12"/>
  <c r="R38" i="12"/>
  <c r="R39" i="12"/>
  <c r="R40" i="12"/>
  <c r="R42" i="12"/>
  <c r="S36" i="12" s="1"/>
  <c r="S17" i="12"/>
  <c r="S16" i="12"/>
  <c r="S15" i="12"/>
  <c r="S12" i="12"/>
  <c r="S11" i="12"/>
  <c r="R11" i="11"/>
  <c r="R12" i="11"/>
  <c r="R15" i="11"/>
  <c r="R16" i="11"/>
  <c r="Q10" i="11"/>
  <c r="Q11" i="11"/>
  <c r="Q12" i="11"/>
  <c r="Q13" i="11"/>
  <c r="R13" i="11" s="1"/>
  <c r="Q14" i="11"/>
  <c r="Q15" i="11"/>
  <c r="Q16" i="11"/>
  <c r="Q17" i="11"/>
  <c r="R17" i="11" s="1"/>
  <c r="Q18" i="11"/>
  <c r="Q19" i="11"/>
  <c r="Q20" i="11"/>
  <c r="Q22" i="11"/>
  <c r="Q23" i="11"/>
  <c r="Q25" i="11"/>
  <c r="Q26" i="11"/>
  <c r="Q28" i="11"/>
  <c r="Q29" i="11"/>
  <c r="Q31" i="11"/>
  <c r="Q32" i="11"/>
  <c r="Q33" i="11"/>
  <c r="Q35" i="11"/>
  <c r="Q38" i="11"/>
  <c r="Q39" i="11"/>
  <c r="Q40" i="11"/>
  <c r="Q42" i="11"/>
  <c r="R40" i="11" s="1"/>
  <c r="O40" i="10"/>
  <c r="O38" i="10"/>
  <c r="O37" i="10"/>
  <c r="O36" i="10"/>
  <c r="O33" i="10"/>
  <c r="O31" i="10"/>
  <c r="O30" i="10"/>
  <c r="O29" i="10"/>
  <c r="O28" i="10"/>
  <c r="O27" i="10"/>
  <c r="O26" i="10"/>
  <c r="O24" i="10"/>
  <c r="O23" i="10"/>
  <c r="O21" i="10"/>
  <c r="O20" i="10"/>
  <c r="O18" i="10"/>
  <c r="O17" i="10"/>
  <c r="O16" i="10"/>
  <c r="O15" i="10"/>
  <c r="P15" i="10" s="1"/>
  <c r="O14" i="10"/>
  <c r="P14" i="10" s="1"/>
  <c r="O13" i="10"/>
  <c r="P13" i="10" s="1"/>
  <c r="O12" i="10"/>
  <c r="O11" i="10"/>
  <c r="O10" i="10"/>
  <c r="P40" i="13"/>
  <c r="I37" i="13"/>
  <c r="K37" i="13"/>
  <c r="L37" i="13"/>
  <c r="L35" i="13" s="1"/>
  <c r="L34" i="13" s="1"/>
  <c r="M37" i="13"/>
  <c r="K35" i="13"/>
  <c r="I36" i="13"/>
  <c r="K36" i="13"/>
  <c r="M36" i="13"/>
  <c r="J38" i="13"/>
  <c r="L38" i="13"/>
  <c r="N38" i="13"/>
  <c r="G36" i="13"/>
  <c r="P36" i="13" s="1"/>
  <c r="Q36" i="13" s="1"/>
  <c r="G37" i="13"/>
  <c r="I11" i="13"/>
  <c r="K11" i="13"/>
  <c r="K9" i="13" s="1"/>
  <c r="L11" i="13"/>
  <c r="L9" i="13" s="1"/>
  <c r="M11" i="13"/>
  <c r="G11" i="13"/>
  <c r="N19" i="12"/>
  <c r="N22" i="12"/>
  <c r="J22" i="12"/>
  <c r="H26" i="12"/>
  <c r="H28" i="12"/>
  <c r="J29" i="12"/>
  <c r="H29" i="12"/>
  <c r="J28" i="12"/>
  <c r="H32" i="12"/>
  <c r="G21" i="12"/>
  <c r="H21" i="12" s="1"/>
  <c r="K37" i="11"/>
  <c r="K36" i="11" s="1"/>
  <c r="L36" i="11" s="1"/>
  <c r="L37" i="11"/>
  <c r="M37" i="11"/>
  <c r="N37" i="11"/>
  <c r="L39" i="11"/>
  <c r="I37" i="11"/>
  <c r="J39" i="11"/>
  <c r="G36" i="11"/>
  <c r="N12" i="10"/>
  <c r="N9" i="10" s="1"/>
  <c r="I9" i="10"/>
  <c r="H17" i="10"/>
  <c r="N11" i="10"/>
  <c r="J11" i="10"/>
  <c r="G9" i="10"/>
  <c r="J26" i="11"/>
  <c r="I20" i="13"/>
  <c r="I19" i="10"/>
  <c r="P29" i="13"/>
  <c r="Q29" i="13" s="1"/>
  <c r="P31" i="13"/>
  <c r="Q31" i="13" s="1"/>
  <c r="P33" i="13"/>
  <c r="Q33" i="13" s="1"/>
  <c r="P38" i="13"/>
  <c r="Q38" i="13" s="1"/>
  <c r="P13" i="13"/>
  <c r="Q13" i="13" s="1"/>
  <c r="P14" i="13"/>
  <c r="Q14" i="13" s="1"/>
  <c r="P15" i="13"/>
  <c r="Q15" i="13" s="1"/>
  <c r="J23" i="11"/>
  <c r="M30" i="13"/>
  <c r="M27" i="13"/>
  <c r="M26" i="13"/>
  <c r="M24" i="13"/>
  <c r="M23" i="13"/>
  <c r="M21" i="13"/>
  <c r="M20" i="13"/>
  <c r="M18" i="13"/>
  <c r="M17" i="13"/>
  <c r="M16" i="13"/>
  <c r="M10" i="13"/>
  <c r="I21" i="13"/>
  <c r="I35" i="10"/>
  <c r="I30" i="13"/>
  <c r="I27" i="13"/>
  <c r="I26" i="13"/>
  <c r="I24" i="13"/>
  <c r="I23" i="13"/>
  <c r="I18" i="13"/>
  <c r="I17" i="13"/>
  <c r="I16" i="13"/>
  <c r="I12" i="13"/>
  <c r="I10" i="13"/>
  <c r="G30" i="13"/>
  <c r="G27" i="13"/>
  <c r="G26" i="13"/>
  <c r="G24" i="13"/>
  <c r="G23" i="13"/>
  <c r="G21" i="13"/>
  <c r="G20" i="13"/>
  <c r="G18" i="13"/>
  <c r="G17" i="13"/>
  <c r="G16" i="13"/>
  <c r="G12" i="13"/>
  <c r="G10" i="13"/>
  <c r="R30" i="12"/>
  <c r="J32" i="12"/>
  <c r="J32" i="11"/>
  <c r="I21" i="11"/>
  <c r="H23" i="11"/>
  <c r="H32" i="11"/>
  <c r="H33" i="11"/>
  <c r="H31" i="11" s="1"/>
  <c r="G31" i="11"/>
  <c r="J21" i="10"/>
  <c r="H21" i="10"/>
  <c r="N38" i="10"/>
  <c r="N34" i="10" s="1"/>
  <c r="J38" i="10"/>
  <c r="H38" i="10"/>
  <c r="N36" i="10"/>
  <c r="G35" i="10"/>
  <c r="H38" i="13"/>
  <c r="H14" i="11"/>
  <c r="P10" i="11"/>
  <c r="P11" i="11"/>
  <c r="P12" i="11"/>
  <c r="P13" i="11"/>
  <c r="P14" i="11"/>
  <c r="P15" i="11"/>
  <c r="P16" i="11"/>
  <c r="P17" i="11"/>
  <c r="P18" i="11"/>
  <c r="P19" i="11"/>
  <c r="P20" i="11"/>
  <c r="P22" i="11"/>
  <c r="P23" i="11"/>
  <c r="P25" i="11"/>
  <c r="P26" i="11"/>
  <c r="P28" i="11"/>
  <c r="P29" i="11"/>
  <c r="P31" i="11"/>
  <c r="P32" i="11"/>
  <c r="P33" i="11"/>
  <c r="P35" i="11"/>
  <c r="P38" i="11"/>
  <c r="P39" i="11"/>
  <c r="P40" i="11"/>
  <c r="P42" i="11"/>
  <c r="P10" i="12"/>
  <c r="P11" i="12"/>
  <c r="P12" i="12"/>
  <c r="P13" i="12"/>
  <c r="P14" i="12"/>
  <c r="P15" i="12"/>
  <c r="P16" i="12"/>
  <c r="P17" i="12"/>
  <c r="P18" i="12"/>
  <c r="P19" i="12"/>
  <c r="Q19" i="12" s="1"/>
  <c r="P20" i="12"/>
  <c r="Q20" i="12" s="1"/>
  <c r="P22" i="12"/>
  <c r="Q22" i="12" s="1"/>
  <c r="P23" i="12"/>
  <c r="Q23" i="12" s="1"/>
  <c r="P25" i="12"/>
  <c r="Q25" i="12" s="1"/>
  <c r="P26" i="12"/>
  <c r="Q26" i="12" s="1"/>
  <c r="P28" i="12"/>
  <c r="Q28" i="12" s="1"/>
  <c r="P29" i="12"/>
  <c r="Q29" i="12" s="1"/>
  <c r="P31" i="12"/>
  <c r="Q31" i="12" s="1"/>
  <c r="P32" i="12"/>
  <c r="P33" i="12"/>
  <c r="P35" i="12"/>
  <c r="P36" i="12"/>
  <c r="P37" i="12"/>
  <c r="P38" i="12"/>
  <c r="P39" i="12"/>
  <c r="P40" i="12"/>
  <c r="H27" i="12" l="1"/>
  <c r="J27" i="13"/>
  <c r="I36" i="11"/>
  <c r="J36" i="11" s="1"/>
  <c r="G35" i="13"/>
  <c r="G34" i="13" s="1"/>
  <c r="H35" i="10"/>
  <c r="H34" i="10" s="1"/>
  <c r="P16" i="10"/>
  <c r="P11" i="13"/>
  <c r="Q11" i="13"/>
  <c r="S23" i="12"/>
  <c r="S30" i="12"/>
  <c r="J30" i="13"/>
  <c r="S10" i="12"/>
  <c r="S14" i="12"/>
  <c r="S22" i="12"/>
  <c r="S20" i="12"/>
  <c r="S19" i="12"/>
  <c r="S18" i="12"/>
  <c r="S33" i="12"/>
  <c r="S25" i="12"/>
  <c r="S32" i="12"/>
  <c r="S26" i="12"/>
  <c r="S31" i="12"/>
  <c r="S28" i="12"/>
  <c r="S29" i="12"/>
  <c r="S35" i="12"/>
  <c r="R32" i="11"/>
  <c r="N34" i="13"/>
  <c r="M36" i="11"/>
  <c r="N36" i="11" s="1"/>
  <c r="R22" i="11"/>
  <c r="R39" i="11"/>
  <c r="R19" i="11"/>
  <c r="R18" i="11"/>
  <c r="J37" i="13"/>
  <c r="J35" i="13" s="1"/>
  <c r="J34" i="13" s="1"/>
  <c r="J30" i="11"/>
  <c r="R10" i="11"/>
  <c r="R31" i="11"/>
  <c r="R33" i="11"/>
  <c r="R29" i="11"/>
  <c r="R14" i="11"/>
  <c r="R35" i="11"/>
  <c r="R28" i="11"/>
  <c r="R38" i="11"/>
  <c r="R26" i="11"/>
  <c r="R25" i="11"/>
  <c r="R23" i="11"/>
  <c r="R20" i="11"/>
  <c r="Q37" i="11"/>
  <c r="R37" i="11" s="1"/>
  <c r="H30" i="11"/>
  <c r="H30" i="13"/>
  <c r="N11" i="13"/>
  <c r="I35" i="13"/>
  <c r="I34" i="13" s="1"/>
  <c r="P27" i="10"/>
  <c r="J11" i="13"/>
  <c r="P17" i="10"/>
  <c r="P29" i="10"/>
  <c r="P18" i="10"/>
  <c r="P11" i="10"/>
  <c r="P20" i="10"/>
  <c r="P30" i="10"/>
  <c r="P21" i="10"/>
  <c r="P31" i="10"/>
  <c r="P12" i="10"/>
  <c r="P23" i="10"/>
  <c r="P24" i="10"/>
  <c r="P33" i="10"/>
  <c r="P26" i="10"/>
  <c r="P28" i="10"/>
  <c r="P36" i="10"/>
  <c r="P37" i="10"/>
  <c r="P38" i="10"/>
  <c r="G34" i="10"/>
  <c r="O35" i="10"/>
  <c r="P35" i="10" s="1"/>
  <c r="O9" i="10"/>
  <c r="P9" i="10" s="1"/>
  <c r="H11" i="13"/>
  <c r="P10" i="10"/>
  <c r="M34" i="10"/>
  <c r="M34" i="13"/>
  <c r="M9" i="13"/>
  <c r="G9" i="13"/>
  <c r="I9" i="13"/>
  <c r="K34" i="13"/>
  <c r="Q30" i="11"/>
  <c r="R30" i="11" s="1"/>
  <c r="S37" i="12"/>
  <c r="S38" i="12"/>
  <c r="S39" i="12"/>
  <c r="S40" i="12"/>
  <c r="P30" i="12"/>
  <c r="Q30" i="12" s="1"/>
  <c r="P30" i="11"/>
  <c r="P37" i="11"/>
  <c r="N24" i="11"/>
  <c r="J37" i="11"/>
  <c r="P28" i="13"/>
  <c r="Q28" i="13" s="1"/>
  <c r="H25" i="10"/>
  <c r="P20" i="13"/>
  <c r="Q20" i="13" s="1"/>
  <c r="P12" i="13"/>
  <c r="P21" i="13"/>
  <c r="Q21" i="13" s="1"/>
  <c r="P16" i="13"/>
  <c r="Q16" i="13" s="1"/>
  <c r="P18" i="13"/>
  <c r="Q18" i="13" s="1"/>
  <c r="P30" i="13"/>
  <c r="Q30" i="13" s="1"/>
  <c r="P37" i="13"/>
  <c r="Q37" i="13" s="1"/>
  <c r="J35" i="10"/>
  <c r="I34" i="10"/>
  <c r="P26" i="13"/>
  <c r="Q26" i="13" s="1"/>
  <c r="P27" i="13"/>
  <c r="Q27" i="13" s="1"/>
  <c r="P24" i="13"/>
  <c r="Q24" i="13" s="1"/>
  <c r="I22" i="13"/>
  <c r="P23" i="13"/>
  <c r="Q23" i="13" s="1"/>
  <c r="P17" i="13"/>
  <c r="Q17" i="13" s="1"/>
  <c r="P10" i="13"/>
  <c r="Q10" i="13" s="1"/>
  <c r="E26" i="18"/>
  <c r="E27" i="18" s="1"/>
  <c r="E20" i="18"/>
  <c r="E22" i="18" s="1"/>
  <c r="C20" i="18"/>
  <c r="C22" i="18" s="1"/>
  <c r="C26" i="18" s="1"/>
  <c r="F14" i="18"/>
  <c r="E14" i="18"/>
  <c r="D14" i="18"/>
  <c r="D20" i="18" s="1"/>
  <c r="D22" i="18" s="1"/>
  <c r="D26" i="18" s="1"/>
  <c r="C14" i="18"/>
  <c r="F13" i="18"/>
  <c r="F22" i="18" s="1"/>
  <c r="N40" i="17"/>
  <c r="J40" i="17"/>
  <c r="N39" i="17"/>
  <c r="J39" i="17"/>
  <c r="H39" i="17"/>
  <c r="N38" i="17"/>
  <c r="N37" i="17"/>
  <c r="J37" i="17"/>
  <c r="H37" i="17"/>
  <c r="N36" i="17"/>
  <c r="M36" i="17"/>
  <c r="J36" i="17"/>
  <c r="I36" i="17"/>
  <c r="G36" i="17"/>
  <c r="H36" i="17" s="1"/>
  <c r="N29" i="17"/>
  <c r="J29" i="17"/>
  <c r="J27" i="17" s="1"/>
  <c r="H29" i="17"/>
  <c r="H27" i="17" s="1"/>
  <c r="N28" i="17"/>
  <c r="N27" i="17" s="1"/>
  <c r="J28" i="17"/>
  <c r="H28" i="17"/>
  <c r="M27" i="17"/>
  <c r="I27" i="17"/>
  <c r="G27" i="17"/>
  <c r="N26" i="17"/>
  <c r="J26" i="17"/>
  <c r="J24" i="17" s="1"/>
  <c r="H26" i="17"/>
  <c r="N25" i="17"/>
  <c r="N24" i="17" s="1"/>
  <c r="J25" i="17"/>
  <c r="H25" i="17"/>
  <c r="M24" i="17"/>
  <c r="I24" i="17"/>
  <c r="G24" i="17"/>
  <c r="H24" i="17" s="1"/>
  <c r="N23" i="17"/>
  <c r="J23" i="17"/>
  <c r="J21" i="17" s="1"/>
  <c r="H23" i="17"/>
  <c r="N22" i="17"/>
  <c r="N21" i="17" s="1"/>
  <c r="J22" i="17"/>
  <c r="H22" i="17"/>
  <c r="M21" i="17"/>
  <c r="I21" i="17"/>
  <c r="G21" i="17"/>
  <c r="G8" i="17" s="1"/>
  <c r="N20" i="17"/>
  <c r="J20" i="17"/>
  <c r="H20" i="17"/>
  <c r="G20" i="17"/>
  <c r="N19" i="17"/>
  <c r="J19" i="17"/>
  <c r="H19" i="17"/>
  <c r="N18" i="17"/>
  <c r="J18" i="17"/>
  <c r="H18" i="17"/>
  <c r="N14" i="17"/>
  <c r="J14" i="17"/>
  <c r="H14" i="17"/>
  <c r="N10" i="17"/>
  <c r="N9" i="17" s="1"/>
  <c r="J10" i="17"/>
  <c r="J9" i="17" s="1"/>
  <c r="H10" i="17"/>
  <c r="M9" i="17"/>
  <c r="I9" i="17"/>
  <c r="H9" i="17"/>
  <c r="G9" i="17"/>
  <c r="M8" i="17"/>
  <c r="M34" i="17" s="1"/>
  <c r="M41" i="17" s="1"/>
  <c r="I8" i="17"/>
  <c r="I34" i="17" s="1"/>
  <c r="I41" i="17" s="1"/>
  <c r="F20" i="15"/>
  <c r="F22" i="15" s="1"/>
  <c r="G14" i="15"/>
  <c r="F14" i="15"/>
  <c r="E14" i="15"/>
  <c r="E20" i="15" s="1"/>
  <c r="E22" i="15" s="1"/>
  <c r="E26" i="15" s="1"/>
  <c r="D14" i="15"/>
  <c r="D20" i="15" s="1"/>
  <c r="D22" i="15" s="1"/>
  <c r="D26" i="15" s="1"/>
  <c r="G13" i="15"/>
  <c r="P9" i="13" l="1"/>
  <c r="Q9" i="13" s="1"/>
  <c r="P36" i="11"/>
  <c r="Q36" i="11"/>
  <c r="R36" i="11" s="1"/>
  <c r="P35" i="13"/>
  <c r="Q35" i="13" s="1"/>
  <c r="O34" i="10"/>
  <c r="P34" i="10" s="1"/>
  <c r="Q12" i="13"/>
  <c r="P34" i="13"/>
  <c r="Q34" i="13" s="1"/>
  <c r="J34" i="10"/>
  <c r="C27" i="18"/>
  <c r="C28" i="18"/>
  <c r="D27" i="18"/>
  <c r="D28" i="18"/>
  <c r="D29" i="18" s="1"/>
  <c r="F20" i="18"/>
  <c r="F26" i="18" s="1"/>
  <c r="E28" i="18"/>
  <c r="N8" i="17"/>
  <c r="N34" i="17" s="1"/>
  <c r="N41" i="17" s="1"/>
  <c r="G34" i="17"/>
  <c r="H8" i="17"/>
  <c r="J8" i="17"/>
  <c r="J34" i="17" s="1"/>
  <c r="J41" i="17" s="1"/>
  <c r="H21" i="17"/>
  <c r="G22" i="15"/>
  <c r="E27" i="15"/>
  <c r="E28" i="15" s="1"/>
  <c r="E29" i="15" s="1"/>
  <c r="D27" i="15"/>
  <c r="D28" i="15" s="1"/>
  <c r="G20" i="15"/>
  <c r="G26" i="15" s="1"/>
  <c r="F26" i="15"/>
  <c r="F28" i="18" l="1"/>
  <c r="F27" i="18"/>
  <c r="G41" i="17"/>
  <c r="H41" i="17" s="1"/>
  <c r="H43" i="17" s="1"/>
  <c r="H50" i="17" s="1"/>
  <c r="H34" i="17"/>
  <c r="J50" i="17"/>
  <c r="J43" i="17"/>
  <c r="N50" i="17"/>
  <c r="N43" i="17"/>
  <c r="F27" i="15"/>
  <c r="F28" i="15" s="1"/>
  <c r="G28" i="15"/>
  <c r="G27" i="15"/>
  <c r="E20" i="14" l="1"/>
  <c r="E22" i="14" s="1"/>
  <c r="F14" i="14"/>
  <c r="E14" i="14"/>
  <c r="D14" i="14"/>
  <c r="D20" i="14" s="1"/>
  <c r="D22" i="14" s="1"/>
  <c r="D26" i="14" s="1"/>
  <c r="C14" i="14"/>
  <c r="C20" i="14" s="1"/>
  <c r="C22" i="14" s="1"/>
  <c r="C26" i="14" s="1"/>
  <c r="F13" i="14"/>
  <c r="F22" i="14" s="1"/>
  <c r="D27" i="14" l="1"/>
  <c r="D28" i="14" s="1"/>
  <c r="D29" i="14" s="1"/>
  <c r="C27" i="14"/>
  <c r="C28" i="14" s="1"/>
  <c r="E26" i="14"/>
  <c r="F20" i="14"/>
  <c r="F26" i="14" s="1"/>
  <c r="E27" i="14" l="1"/>
  <c r="E28" i="14" s="1"/>
  <c r="F28" i="14"/>
  <c r="F27" i="14"/>
  <c r="M25" i="13" l="1"/>
  <c r="I25" i="13"/>
  <c r="G25" i="13"/>
  <c r="M22" i="13"/>
  <c r="G22" i="13"/>
  <c r="M19" i="13"/>
  <c r="I19" i="13"/>
  <c r="G19" i="13"/>
  <c r="M21" i="12"/>
  <c r="G9" i="12"/>
  <c r="N40" i="12"/>
  <c r="J40" i="12"/>
  <c r="N39" i="12"/>
  <c r="J39" i="12"/>
  <c r="H39" i="12"/>
  <c r="N38" i="12"/>
  <c r="N37" i="12"/>
  <c r="J37" i="12"/>
  <c r="H37" i="12"/>
  <c r="M36" i="12"/>
  <c r="J36" i="12"/>
  <c r="H36" i="12"/>
  <c r="M27" i="12"/>
  <c r="I27" i="12"/>
  <c r="G27" i="12"/>
  <c r="J26" i="12"/>
  <c r="J25" i="12"/>
  <c r="H25" i="12"/>
  <c r="I24" i="12"/>
  <c r="G24" i="12"/>
  <c r="J23" i="12"/>
  <c r="J21" i="12" s="1"/>
  <c r="H23" i="12"/>
  <c r="H22" i="12"/>
  <c r="I21" i="12"/>
  <c r="R21" i="12" s="1"/>
  <c r="S21" i="12" s="1"/>
  <c r="J19" i="12"/>
  <c r="H19" i="12"/>
  <c r="H9" i="12" s="1"/>
  <c r="N18" i="12"/>
  <c r="J18" i="12"/>
  <c r="H18" i="12"/>
  <c r="N14" i="12"/>
  <c r="J14" i="12"/>
  <c r="H14" i="12"/>
  <c r="J10" i="12"/>
  <c r="H10" i="12"/>
  <c r="M9" i="12"/>
  <c r="I9" i="12"/>
  <c r="J28" i="11"/>
  <c r="J25" i="11"/>
  <c r="J22" i="11"/>
  <c r="J19" i="11"/>
  <c r="J18" i="11"/>
  <c r="N40" i="11"/>
  <c r="J40" i="11"/>
  <c r="H39" i="11"/>
  <c r="H37" i="11"/>
  <c r="H36" i="11"/>
  <c r="H29" i="11"/>
  <c r="H28" i="11"/>
  <c r="M27" i="11"/>
  <c r="I27" i="11"/>
  <c r="G27" i="11"/>
  <c r="H26" i="11"/>
  <c r="H25" i="11"/>
  <c r="M24" i="11"/>
  <c r="G24" i="11"/>
  <c r="H22" i="11"/>
  <c r="M21" i="11"/>
  <c r="G21" i="11"/>
  <c r="H19" i="11"/>
  <c r="H18" i="11"/>
  <c r="J14" i="11"/>
  <c r="J10" i="11"/>
  <c r="H10" i="11"/>
  <c r="M9" i="11"/>
  <c r="I9" i="11"/>
  <c r="I8" i="11" s="1"/>
  <c r="G9" i="11"/>
  <c r="G19" i="10"/>
  <c r="J26" i="10"/>
  <c r="M25" i="10"/>
  <c r="I25" i="10"/>
  <c r="G25" i="10"/>
  <c r="J24" i="10"/>
  <c r="H24" i="10"/>
  <c r="H24" i="13" s="1"/>
  <c r="J23" i="10"/>
  <c r="H23" i="10"/>
  <c r="M22" i="10"/>
  <c r="I22" i="10"/>
  <c r="G22" i="10"/>
  <c r="N21" i="10"/>
  <c r="J20" i="10"/>
  <c r="J20" i="13" s="1"/>
  <c r="H20" i="10"/>
  <c r="J18" i="10"/>
  <c r="J18" i="13" s="1"/>
  <c r="J17" i="10"/>
  <c r="J12" i="10"/>
  <c r="H12" i="10"/>
  <c r="N10" i="13"/>
  <c r="N8" i="7"/>
  <c r="N9" i="7"/>
  <c r="N37" i="7"/>
  <c r="N36" i="7" s="1"/>
  <c r="N40" i="7"/>
  <c r="N29" i="7"/>
  <c r="N28" i="7"/>
  <c r="N26" i="7"/>
  <c r="N25" i="7"/>
  <c r="N23" i="7"/>
  <c r="N22" i="7"/>
  <c r="N20" i="7"/>
  <c r="N19" i="7"/>
  <c r="N18" i="7"/>
  <c r="N14" i="7"/>
  <c r="N10" i="7"/>
  <c r="M41" i="7"/>
  <c r="M34" i="7"/>
  <c r="M27" i="7"/>
  <c r="M24" i="7"/>
  <c r="M21" i="7"/>
  <c r="M9" i="7"/>
  <c r="J36" i="7"/>
  <c r="J29" i="7"/>
  <c r="J28" i="7"/>
  <c r="J26" i="7"/>
  <c r="J25" i="7"/>
  <c r="J23" i="7"/>
  <c r="J22" i="7"/>
  <c r="J20" i="7"/>
  <c r="J19" i="7"/>
  <c r="J18" i="7"/>
  <c r="J14" i="7"/>
  <c r="J10" i="7"/>
  <c r="I27" i="7"/>
  <c r="I21" i="7"/>
  <c r="I9" i="7"/>
  <c r="H27" i="7"/>
  <c r="H50" i="7"/>
  <c r="H41" i="7"/>
  <c r="H39" i="7"/>
  <c r="H37" i="7"/>
  <c r="H36" i="7"/>
  <c r="H34" i="7"/>
  <c r="H29" i="7"/>
  <c r="H28" i="7"/>
  <c r="H24" i="7"/>
  <c r="H23" i="7"/>
  <c r="H22" i="7"/>
  <c r="H21" i="7"/>
  <c r="H25" i="7"/>
  <c r="H26" i="7"/>
  <c r="H19" i="7"/>
  <c r="G41" i="7"/>
  <c r="G36" i="7"/>
  <c r="G20" i="7"/>
  <c r="H20" i="7" s="1"/>
  <c r="G27" i="7"/>
  <c r="G24" i="7"/>
  <c r="G21" i="7"/>
  <c r="H18" i="7"/>
  <c r="H14" i="7"/>
  <c r="H10" i="7"/>
  <c r="G9" i="7"/>
  <c r="H9" i="7" s="1"/>
  <c r="J9" i="10" l="1"/>
  <c r="J25" i="10"/>
  <c r="J26" i="13"/>
  <c r="O25" i="10"/>
  <c r="P25" i="10" s="1"/>
  <c r="Q24" i="11"/>
  <c r="R24" i="11" s="1"/>
  <c r="N27" i="13"/>
  <c r="N25" i="13" s="1"/>
  <c r="N27" i="12"/>
  <c r="J23" i="13"/>
  <c r="H23" i="13"/>
  <c r="H22" i="13" s="1"/>
  <c r="J24" i="13"/>
  <c r="H9" i="10"/>
  <c r="N12" i="13"/>
  <c r="J12" i="13"/>
  <c r="H12" i="13"/>
  <c r="J17" i="13"/>
  <c r="J21" i="11"/>
  <c r="J24" i="11"/>
  <c r="J34" i="11" s="1"/>
  <c r="H27" i="13"/>
  <c r="H24" i="11"/>
  <c r="H8" i="11" s="1"/>
  <c r="H34" i="11" s="1"/>
  <c r="H20" i="13"/>
  <c r="N36" i="12"/>
  <c r="R27" i="12"/>
  <c r="S27" i="12" s="1"/>
  <c r="R9" i="12"/>
  <c r="S9" i="12" s="1"/>
  <c r="Q21" i="11"/>
  <c r="R21" i="11" s="1"/>
  <c r="Q27" i="11"/>
  <c r="R27" i="11" s="1"/>
  <c r="H37" i="13"/>
  <c r="H17" i="13"/>
  <c r="G8" i="11"/>
  <c r="Q9" i="11"/>
  <c r="R9" i="11" s="1"/>
  <c r="N21" i="13"/>
  <c r="N19" i="10"/>
  <c r="N8" i="10" s="1"/>
  <c r="H22" i="10"/>
  <c r="O22" i="10"/>
  <c r="P22" i="10" s="1"/>
  <c r="O19" i="10"/>
  <c r="P19" i="10" s="1"/>
  <c r="N16" i="13"/>
  <c r="N9" i="13" s="1"/>
  <c r="N9" i="12"/>
  <c r="J21" i="13"/>
  <c r="H21" i="13"/>
  <c r="N20" i="13"/>
  <c r="H9" i="11"/>
  <c r="I8" i="13"/>
  <c r="I32" i="13" s="1"/>
  <c r="I39" i="13" s="1"/>
  <c r="J19" i="10"/>
  <c r="P19" i="13"/>
  <c r="Q19" i="13" s="1"/>
  <c r="J10" i="13"/>
  <c r="J22" i="10"/>
  <c r="H24" i="12"/>
  <c r="H8" i="12" s="1"/>
  <c r="H34" i="12" s="1"/>
  <c r="P22" i="13"/>
  <c r="Q22" i="13" s="1"/>
  <c r="P25" i="13"/>
  <c r="Q25" i="13" s="1"/>
  <c r="H10" i="13"/>
  <c r="G8" i="13"/>
  <c r="G32" i="13" s="1"/>
  <c r="J9" i="12"/>
  <c r="P27" i="12"/>
  <c r="Q27" i="12" s="1"/>
  <c r="I8" i="12"/>
  <c r="P9" i="12"/>
  <c r="Q9" i="12" s="1"/>
  <c r="G8" i="12"/>
  <c r="G34" i="12" s="1"/>
  <c r="P21" i="12"/>
  <c r="Q21" i="12" s="1"/>
  <c r="P27" i="11"/>
  <c r="P24" i="11"/>
  <c r="P21" i="11"/>
  <c r="P9" i="11"/>
  <c r="I32" i="10"/>
  <c r="I39" i="10" s="1"/>
  <c r="M8" i="13"/>
  <c r="M32" i="13" s="1"/>
  <c r="M39" i="13" s="1"/>
  <c r="J27" i="12"/>
  <c r="J24" i="12"/>
  <c r="J8" i="12" s="1"/>
  <c r="M8" i="11"/>
  <c r="J9" i="11"/>
  <c r="M32" i="10"/>
  <c r="M39" i="10" s="1"/>
  <c r="G8" i="10"/>
  <c r="N27" i="7"/>
  <c r="N24" i="7"/>
  <c r="N21" i="7"/>
  <c r="M8" i="7"/>
  <c r="J27" i="7"/>
  <c r="J24" i="7"/>
  <c r="J21" i="7"/>
  <c r="G8" i="7"/>
  <c r="G34" i="7" s="1"/>
  <c r="H8" i="10" l="1"/>
  <c r="H32" i="10" s="1"/>
  <c r="H32" i="13" s="1"/>
  <c r="H35" i="13"/>
  <c r="H34" i="13" s="1"/>
  <c r="N19" i="13"/>
  <c r="N8" i="13" s="1"/>
  <c r="N32" i="10"/>
  <c r="N39" i="10" s="1"/>
  <c r="N48" i="10" s="1"/>
  <c r="J22" i="13"/>
  <c r="H9" i="13"/>
  <c r="Q8" i="11"/>
  <c r="R8" i="11" s="1"/>
  <c r="G34" i="11"/>
  <c r="G41" i="11" s="1"/>
  <c r="G32" i="10"/>
  <c r="O32" i="10" s="1"/>
  <c r="P32" i="10" s="1"/>
  <c r="O8" i="10"/>
  <c r="P8" i="10" s="1"/>
  <c r="H19" i="13"/>
  <c r="J19" i="13"/>
  <c r="J34" i="12"/>
  <c r="J41" i="12" s="1"/>
  <c r="H25" i="13"/>
  <c r="J25" i="13"/>
  <c r="I34" i="12"/>
  <c r="I41" i="12" s="1"/>
  <c r="M34" i="11"/>
  <c r="M41" i="11" s="1"/>
  <c r="I34" i="11"/>
  <c r="I41" i="11" s="1"/>
  <c r="P32" i="13"/>
  <c r="Q32" i="13" s="1"/>
  <c r="P8" i="13"/>
  <c r="Q8" i="13" s="1"/>
  <c r="H41" i="12"/>
  <c r="G41" i="12"/>
  <c r="P8" i="11"/>
  <c r="J8" i="10"/>
  <c r="J32" i="10" s="1"/>
  <c r="J39" i="10" s="1"/>
  <c r="H8" i="7"/>
  <c r="H43" i="7" s="1"/>
  <c r="N39" i="7"/>
  <c r="N38" i="7"/>
  <c r="M36" i="7"/>
  <c r="J39" i="7"/>
  <c r="J40" i="7"/>
  <c r="J32" i="13" l="1"/>
  <c r="J39" i="13" s="1"/>
  <c r="J42" i="13" s="1"/>
  <c r="J49" i="13" s="1"/>
  <c r="H39" i="10"/>
  <c r="H41" i="10" s="1"/>
  <c r="H48" i="10" s="1"/>
  <c r="N32" i="13"/>
  <c r="H41" i="11"/>
  <c r="G39" i="10"/>
  <c r="O39" i="10" s="1"/>
  <c r="P39" i="10" s="1"/>
  <c r="H8" i="13"/>
  <c r="Q41" i="11"/>
  <c r="R41" i="11" s="1"/>
  <c r="Q34" i="11"/>
  <c r="R34" i="11" s="1"/>
  <c r="H43" i="12"/>
  <c r="H50" i="12" s="1"/>
  <c r="N34" i="11"/>
  <c r="N41" i="11" s="1"/>
  <c r="G39" i="13"/>
  <c r="P39" i="13" s="1"/>
  <c r="Q39" i="13" s="1"/>
  <c r="P34" i="11"/>
  <c r="J41" i="11"/>
  <c r="J43" i="11" s="1"/>
  <c r="J50" i="11" s="1"/>
  <c r="J43" i="12"/>
  <c r="I24" i="7"/>
  <c r="I8" i="7" s="1"/>
  <c r="I34" i="7" s="1"/>
  <c r="J9" i="7"/>
  <c r="J8" i="7" s="1"/>
  <c r="J34" i="7" s="1"/>
  <c r="N34" i="7"/>
  <c r="N41" i="7" s="1"/>
  <c r="N39" i="13" l="1"/>
  <c r="N49" i="13" s="1"/>
  <c r="H39" i="13"/>
  <c r="H42" i="13" s="1"/>
  <c r="N43" i="11"/>
  <c r="N50" i="11" s="1"/>
  <c r="N41" i="10"/>
  <c r="H43" i="11"/>
  <c r="H50" i="11" s="1"/>
  <c r="P41" i="11"/>
  <c r="J41" i="10"/>
  <c r="J48" i="10" s="1"/>
  <c r="N50" i="7"/>
  <c r="N43" i="7"/>
  <c r="J37" i="7"/>
  <c r="I36" i="7"/>
  <c r="N42" i="13" l="1"/>
  <c r="J41" i="7"/>
  <c r="I41" i="7"/>
  <c r="J50" i="7" l="1"/>
  <c r="J43" i="7"/>
  <c r="M24" i="12" l="1"/>
  <c r="R24" i="12" s="1"/>
  <c r="S24" i="12" s="1"/>
  <c r="N34" i="12" l="1"/>
  <c r="P24" i="12"/>
  <c r="Q24" i="12" s="1"/>
  <c r="M8" i="12"/>
  <c r="M34" i="12" l="1"/>
  <c r="R34" i="12" s="1"/>
  <c r="S34" i="12" s="1"/>
  <c r="R8" i="12"/>
  <c r="S8" i="12" s="1"/>
  <c r="P8" i="12"/>
  <c r="Q8" i="12" s="1"/>
  <c r="N41" i="12" l="1"/>
  <c r="N50" i="12" s="1"/>
  <c r="M41" i="12"/>
  <c r="P41" i="12" s="1"/>
  <c r="Q41" i="12" s="1"/>
  <c r="P34" i="12"/>
  <c r="Q34" i="12" s="1"/>
  <c r="R41" i="12" l="1"/>
  <c r="S41" i="12" s="1"/>
  <c r="N43" i="12"/>
</calcChain>
</file>

<file path=xl/sharedStrings.xml><?xml version="1.0" encoding="utf-8"?>
<sst xmlns="http://schemas.openxmlformats.org/spreadsheetml/2006/main" count="1709" uniqueCount="372">
  <si>
    <t>до Порядку розгляду органами місцевого самоврядування розрахунків тарифів на теплову енергію, її виробництво, транспортування та постачання, а також розрахунків тарифів на комунальні послуги, поданих для їх встановлення
(підпункт 1 пункту 3 розділу ІІ)</t>
  </si>
  <si>
    <t>Розрахунок тарифів на виробництво теплової енергії  КП "Тепловик" на період з 01.10.2021р. по 30.09.2022р.</t>
  </si>
  <si>
    <t>без ПДВ</t>
  </si>
  <si>
    <t>N з/п</t>
  </si>
  <si>
    <t>Показники</t>
  </si>
  <si>
    <t>Од. виміру </t>
  </si>
  <si>
    <t>Сумарні та середньозважені показники </t>
  </si>
  <si>
    <t>Виробництво теплової енергії для потреб населення </t>
  </si>
  <si>
    <t>Виробництво теплової енергії для потреб бюджетних установ </t>
  </si>
  <si>
    <t>Виробництво теплової енергії для потреб інших споживачів </t>
  </si>
  <si>
    <t>Період, попередній базовому (факт            2019 р.)</t>
  </si>
  <si>
    <t>Базовий перід (факт           2020 р.)</t>
  </si>
  <si>
    <t>Передба-чено діючим тарифом </t>
  </si>
  <si>
    <t>Плановий період  з 01.10.2021р. по 30.09.2022р.</t>
  </si>
  <si>
    <t>Період, попередній базовому (факт            2019.)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</si>
  <si>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</si>
  <si>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</si>
  <si>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</si>
  <si>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</si>
  <si>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</si>
  <si>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</si>
  <si>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</si>
  <si>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</si>
  <si>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</si>
  <si>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</si>
  <si>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</si>
  <si>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</si>
  <si>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</si>
  <si>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</si>
  <si>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</si>
  <si>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</si>
  <si>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19 </t>
  </si>
  <si>
    <t>Виробнича собівартість, у т. ч.:</t>
  </si>
  <si>
    <t>тис. грн </t>
  </si>
  <si>
    <t>х </t>
  </si>
  <si>
    <t>х</t>
  </si>
  <si>
    <t>1.1</t>
  </si>
  <si>
    <t>прямі матеріальні витрати, у т. ч.:</t>
  </si>
  <si>
    <t>тис. грн</t>
  </si>
  <si>
    <t>1.1.1</t>
  </si>
  <si>
    <t>паливо</t>
  </si>
  <si>
    <t>1.1.2</t>
  </si>
  <si>
    <t>електроенергія</t>
  </si>
  <si>
    <t>1.1.3</t>
  </si>
  <si>
    <t>покупна теплова енергія та собівартість теплової енергії власних ТЕЦ, ТЕС, АЕС, когенераційних установок</t>
  </si>
  <si>
    <t>1.1.4</t>
  </si>
  <si>
    <t>вода для технологічних потреб та водовідведення</t>
  </si>
  <si>
    <t>1.1.5</t>
  </si>
  <si>
    <t xml:space="preserve">матеріали, запасні частини та інші матеріальні ресурси </t>
  </si>
  <si>
    <t>1.2</t>
  </si>
  <si>
    <t>прямі витрати на оплату праці</t>
  </si>
  <si>
    <t>1.3</t>
  </si>
  <si>
    <t>інші прямі витрати, у т. ч.:</t>
  </si>
  <si>
    <t>1.3.1</t>
  </si>
  <si>
    <t>відрахування на соціальні заходи</t>
  </si>
  <si>
    <t>1.3.2</t>
  </si>
  <si>
    <t>амортизаційні відрахування</t>
  </si>
  <si>
    <t>1.3.3</t>
  </si>
  <si>
    <t xml:space="preserve">інші прямі витрати </t>
  </si>
  <si>
    <t>1.4</t>
  </si>
  <si>
    <t>загальновиробничі витрати, у т. ч.:</t>
  </si>
  <si>
    <t>1.4.1</t>
  </si>
  <si>
    <t>витрати на оплату праці</t>
  </si>
  <si>
    <t>1.4.2</t>
  </si>
  <si>
    <t>1.4.3</t>
  </si>
  <si>
    <t>інші витрати</t>
  </si>
  <si>
    <t>Адміністративні витрати, у т. ч.:</t>
  </si>
  <si>
    <t>2.1</t>
  </si>
  <si>
    <t>2.2</t>
  </si>
  <si>
    <t>2.3</t>
  </si>
  <si>
    <t>2.4</t>
  </si>
  <si>
    <t>Витрати на збут, у т. ч.:</t>
  </si>
  <si>
    <t>3.1</t>
  </si>
  <si>
    <t>3.2</t>
  </si>
  <si>
    <t>3.3</t>
  </si>
  <si>
    <t>Інші операційні витрати*</t>
  </si>
  <si>
    <t>Фінансові витрати (послуги банку за приймання платежів)</t>
  </si>
  <si>
    <t>Повна собівартість*</t>
  </si>
  <si>
    <t>Розрахунковий прибуток, усього *, у т. ч.:</t>
  </si>
  <si>
    <t>7.1</t>
  </si>
  <si>
    <t>податок на прибуток</t>
  </si>
  <si>
    <t>7.2</t>
  </si>
  <si>
    <t>дивіденди</t>
  </si>
  <si>
    <t>7.3</t>
  </si>
  <si>
    <t>резервний фонд (капітал)</t>
  </si>
  <si>
    <t>7.4</t>
  </si>
  <si>
    <t>витрати на розвиок виробництва ( виробничі інвестиції)</t>
  </si>
  <si>
    <t>7.5</t>
  </si>
  <si>
    <t>інше використання прибутку, 4% від повної планової собівартості</t>
  </si>
  <si>
    <t>Вартість виробництва теплової енергії за відповідними тарифами</t>
  </si>
  <si>
    <t>Тарифи на виробництво теплової енергії</t>
  </si>
  <si>
    <t>грн./Гкал </t>
  </si>
  <si>
    <t>Реалізація теплової енергії власним споживачам</t>
  </si>
  <si>
    <t>Гкал </t>
  </si>
  <si>
    <t>Відпуск теплової енергії з колекторів власних котелень</t>
  </si>
  <si>
    <t>Витрати умовного палива на виробництво теплової енергії власними котельнями</t>
  </si>
  <si>
    <t>тонн </t>
  </si>
  <si>
    <t>Питомі витрати умовного палива на виробництво теплової енергії власними котельнями</t>
  </si>
  <si>
    <t>кг у. п. /Гкал </t>
  </si>
  <si>
    <t>Ціна умовного палива для власних котелень</t>
  </si>
  <si>
    <t>грн./тонн </t>
  </si>
  <si>
    <t>Витрати газу на виробництво теплової енергії власними котельнями</t>
  </si>
  <si>
    <t>Витрати мазуту на виробництво теплової енергії власними котельнями</t>
  </si>
  <si>
    <t>Витрати вугілля на виробництво теплової енергії власними котельнями</t>
  </si>
  <si>
    <t>Витрати іншого палива на виробництво теплової енергії власними котельнями</t>
  </si>
  <si>
    <t>одиниць </t>
  </si>
  <si>
    <t>Ціна натурального палива пункту 15</t>
  </si>
  <si>
    <t>Ціна натурального палива пункту 16</t>
  </si>
  <si>
    <t>грн./тонну </t>
  </si>
  <si>
    <t>Ціна натурального палива пункту 17</t>
  </si>
  <si>
    <t>грн./тонну</t>
  </si>
  <si>
    <t>Ціна натурального палива пункту 18</t>
  </si>
  <si>
    <t>грн/од. </t>
  </si>
  <si>
    <t>Калорійність натурального палива пункту 15</t>
  </si>
  <si>
    <t>Калорійність натурального палива пункту 16</t>
  </si>
  <si>
    <t>ккал/кг </t>
  </si>
  <si>
    <t>Калорійність натурального палива пункту 17</t>
  </si>
  <si>
    <t>Калорійність натурального палива пункту 18</t>
  </si>
  <si>
    <t>ккал/од. </t>
  </si>
  <si>
    <t>Обсяг покупної теплової енергії</t>
  </si>
  <si>
    <t>Ціна покупної теплової енергії</t>
  </si>
  <si>
    <t>грн/Гкал </t>
  </si>
  <si>
    <t>  </t>
  </si>
  <si>
    <t>Відпуск теплової енергії з колекторів власних ТЕЦ, ТЕС, АЕС, когенераційних установок</t>
  </si>
  <si>
    <t>Собівартість у тарифах на теплову енергію власних ТЕЦ, ТЕС, АЕС, когенераційних установок</t>
  </si>
  <si>
    <t>Питомі витрати електроенергії на виробництво теплової енергії власними котельнями</t>
  </si>
  <si>
    <t>Середньозважений тариф активної електроенергії</t>
  </si>
  <si>
    <t>коп./ кВт·год </t>
  </si>
  <si>
    <t>Сумарна встановлена потужність джерел теплової енергії</t>
  </si>
  <si>
    <t>Гкал/год </t>
  </si>
  <si>
    <t>*</t>
  </si>
  <si>
    <t>* Без урахування списання безнадійної дебіторської заборгованості та нарахування резерву сумнівних боргів</t>
  </si>
  <si>
    <t>№п/п</t>
  </si>
  <si>
    <t>Найменування показників</t>
  </si>
  <si>
    <t>на 1 Гкал</t>
  </si>
  <si>
    <t xml:space="preserve">тис.грн. на рік </t>
  </si>
  <si>
    <t>Виробнича собівартість, у т.ч.:</t>
  </si>
  <si>
    <t>прямі матеріальні витрати, у т.ч.:</t>
  </si>
  <si>
    <t>витрати на паливо для виробництва теплової енергії котельнями</t>
  </si>
  <si>
    <t>витрати на електроенергію</t>
  </si>
  <si>
    <t>собівартість теплової енергії власних ТЕЦ, ТЕС,АЕС, КГУ, у т.ч.:</t>
  </si>
  <si>
    <t>1.1.3.1</t>
  </si>
  <si>
    <t>витрати на паливо у собівартості теплової енергії власних ТЕЦ, ТЕС,АЕС, КГУ</t>
  </si>
  <si>
    <t>витрати на покупну теплову енергію, у т.ч.:</t>
  </si>
  <si>
    <t>матеріали, запасні частини та інші матеріальні ресурси</t>
  </si>
  <si>
    <t>прямі витрати на оплату праці з відрахуваннями на соціальні заходи</t>
  </si>
  <si>
    <t>інші прямі витрати, у т.ч.:</t>
  </si>
  <si>
    <t>загальновиробничі витрати, у т.ч.:</t>
  </si>
  <si>
    <t>витрати на оплату праці з відрахуваннями на соціальні заходи</t>
  </si>
  <si>
    <t>2</t>
  </si>
  <si>
    <t>Адміністративні витрати, у т.ч.:</t>
  </si>
  <si>
    <t>3</t>
  </si>
  <si>
    <t>Витрати на збут, у т.ч.:</t>
  </si>
  <si>
    <t>4</t>
  </si>
  <si>
    <t>Фінансові витрати</t>
  </si>
  <si>
    <t>5</t>
  </si>
  <si>
    <t>Повна собівартість</t>
  </si>
  <si>
    <t>6</t>
  </si>
  <si>
    <t>Витрати на покриття втрат</t>
  </si>
  <si>
    <t>7</t>
  </si>
  <si>
    <t>Розрахунковий прибуток, у т.ч.:</t>
  </si>
  <si>
    <t>резервний фонд (капітал) та девіденти</t>
  </si>
  <si>
    <t>на розвиток виробництва (виробничі інвестиції)</t>
  </si>
  <si>
    <t>8</t>
  </si>
  <si>
    <t>Вартість теплової енергії за відповідним тарифом</t>
  </si>
  <si>
    <t>9.1</t>
  </si>
  <si>
    <t>паливна складова</t>
  </si>
  <si>
    <t>9.2</t>
  </si>
  <si>
    <t>решта витрат, крім паливної складової</t>
  </si>
  <si>
    <t>10</t>
  </si>
  <si>
    <t>Паливна складова, %</t>
  </si>
  <si>
    <t>11</t>
  </si>
  <si>
    <t>решта витрат, крім паливної складової, %</t>
  </si>
  <si>
    <t>12</t>
  </si>
  <si>
    <t>Обсяг реалізації теплової енергії власним споживачам, Гкал.</t>
  </si>
  <si>
    <t>13</t>
  </si>
  <si>
    <t>Тариф на теплову енергію, грн./Гкал, у т.ч.:</t>
  </si>
  <si>
    <t>Тариф на теплову енергію, грн./Гкал, з ПДВ</t>
  </si>
  <si>
    <t>тис.м3 </t>
  </si>
  <si>
    <t>грн/тис. м3 </t>
  </si>
  <si>
    <t>ккал/м3 </t>
  </si>
  <si>
    <t>кВт·год/ Гкал </t>
  </si>
  <si>
    <t xml:space="preserve">Додаток 3 </t>
  </si>
  <si>
    <t>Додаток 4</t>
  </si>
  <si>
    <t>до Порядку формування тарифів на теплову енергію, її виробництво, транспортування та постачання </t>
  </si>
  <si>
    <t>Розрахунок тарифів на транспортування теплової енергії  КП "Тепловик" на період з 01.10.2021р. по 30.09.2022р.</t>
  </si>
  <si>
    <t>Без ПДВ</t>
  </si>
  <si>
    <t>N з/п </t>
  </si>
  <si>
    <t>Показники </t>
  </si>
  <si>
    <t>Одиниця виміру </t>
  </si>
  <si>
    <t>Усього </t>
  </si>
  <si>
    <t>Період, попередній базовому (факт 2019 р.)</t>
  </si>
  <si>
    <t>Базовий перід (факт 2020 р.)</t>
  </si>
  <si>
    <t>Передбачено діючим тарифом </t>
  </si>
  <si>
    <t>Плановий період з 01.10.2021 по 30.09.2022р.</t>
  </si>
  <si>
    <t>1 </t>
  </si>
  <si>
    <t>2 </t>
  </si>
  <si>
    <t>Виробнича собівартість, у тому числі: </t>
  </si>
  <si>
    <t>1.1 </t>
  </si>
  <si>
    <t>Прямі матеріальні витрати, у тому числі: </t>
  </si>
  <si>
    <t>1.1.1 </t>
  </si>
  <si>
    <t>електроенергія </t>
  </si>
  <si>
    <t>1.1.2 </t>
  </si>
  <si>
    <t>транспортування теплової енергії тепловими мережами інших підприємств </t>
  </si>
  <si>
    <t>1.1.3 </t>
  </si>
  <si>
    <t>вода для технологічних потреб та водовідведення </t>
  </si>
  <si>
    <t>1.1.4 </t>
  </si>
  <si>
    <t>матеріали, запасні частини та інші матеріальні ресурси </t>
  </si>
  <si>
    <t>1.2 </t>
  </si>
  <si>
    <t>Прямі витрати на оплату праці </t>
  </si>
  <si>
    <t>1.3 </t>
  </si>
  <si>
    <t>Інші прямі витрати, у тому числі: </t>
  </si>
  <si>
    <t>1.3.1  </t>
  </si>
  <si>
    <t>відрахування на соціальні заходи </t>
  </si>
  <si>
    <t>1.3.2 </t>
  </si>
  <si>
    <t>амортизаційні відрахування  </t>
  </si>
  <si>
    <t>1.3.3 </t>
  </si>
  <si>
    <t>інші прямі витрати </t>
  </si>
  <si>
    <t>1.4 </t>
  </si>
  <si>
    <t>Загальновиробничі витрати, у тому числі: </t>
  </si>
  <si>
    <t>1.4.1 </t>
  </si>
  <si>
    <t>витрати на оплату праці </t>
  </si>
  <si>
    <t>1.4.2 </t>
  </si>
  <si>
    <t>1.4.3 </t>
  </si>
  <si>
    <t>інші витрати </t>
  </si>
  <si>
    <t>Адміністративні витрати, у тому числі: </t>
  </si>
  <si>
    <t>2.1 </t>
  </si>
  <si>
    <t>2.2 </t>
  </si>
  <si>
    <t>2.3 </t>
  </si>
  <si>
    <t>Витрати на збут, у тому числі: </t>
  </si>
  <si>
    <t>3.1 </t>
  </si>
  <si>
    <t>3.2 </t>
  </si>
  <si>
    <t>3.3 </t>
  </si>
  <si>
    <t>інші витрати* </t>
  </si>
  <si>
    <t>Інші операційні витрати* </t>
  </si>
  <si>
    <t>Фінансові витрати </t>
  </si>
  <si>
    <t>Повна собівартість* </t>
  </si>
  <si>
    <t>Розрахунковий прибуток*, усього, у тому числі: </t>
  </si>
  <si>
    <t>7.1 </t>
  </si>
  <si>
    <t>податок на прибуток </t>
  </si>
  <si>
    <t>тис. грн  </t>
  </si>
  <si>
    <t>7.2 </t>
  </si>
  <si>
    <t>дивіденди </t>
  </si>
  <si>
    <t>7.3 </t>
  </si>
  <si>
    <t>резервний фонд (капітал) </t>
  </si>
  <si>
    <t>7.4 </t>
  </si>
  <si>
    <t>витрати на покриття втрат 2%</t>
  </si>
  <si>
    <t>7.5 </t>
  </si>
  <si>
    <t>інше використання прибутку </t>
  </si>
  <si>
    <t>Вартість транспортування теплової енергії за відповідними тарифами </t>
  </si>
  <si>
    <t>9  </t>
  </si>
  <si>
    <t>Середньозважений тариф на транспортування теплової енергії </t>
  </si>
  <si>
    <t>Обсяг надходження теплової енергії до мережі ліцензіата, у т. ч.: </t>
  </si>
  <si>
    <t>10.1 </t>
  </si>
  <si>
    <t>власної теплової енергії </t>
  </si>
  <si>
    <t>10.2 </t>
  </si>
  <si>
    <t>теплоенергії інших власників для транспортування мережами ліцензіата </t>
  </si>
  <si>
    <t>11  </t>
  </si>
  <si>
    <t>Втрати теплової енергії в мережах ліцензіата, всього, у т. ч.: </t>
  </si>
  <si>
    <t>11.1 </t>
  </si>
  <si>
    <t>11.2 </t>
  </si>
  <si>
    <t>теплової енергії інших власників </t>
  </si>
  <si>
    <t>Корисний відпуск теплової енергії з мереж ліцензіата, усього, у т. ч.: </t>
  </si>
  <si>
    <t>12.1 </t>
  </si>
  <si>
    <t>господарські потреби ліцензованої діяльності ліцензіата </t>
  </si>
  <si>
    <t>12.2 </t>
  </si>
  <si>
    <t>корисний відпуск теплової енергії інших власників </t>
  </si>
  <si>
    <t>12.3 </t>
  </si>
  <si>
    <t>Корисний відпуск теплової енергії власним споживачам, у т. ч. на потреби: </t>
  </si>
  <si>
    <t>12.3.1 </t>
  </si>
  <si>
    <t>населення </t>
  </si>
  <si>
    <t>12.3.2 </t>
  </si>
  <si>
    <t>бюджетних установ </t>
  </si>
  <si>
    <t>12.3.3 </t>
  </si>
  <si>
    <t>інших споживачів </t>
  </si>
  <si>
    <t>Обсяг транспортування теплової енергії ліцензіата мережами іншого(их) транспортувальника(ів) </t>
  </si>
  <si>
    <t>Тариф(и) іншого(их) транспортувальника(ів) на транспортування теплової енергії  </t>
  </si>
  <si>
    <t>Додаток 5</t>
  </si>
  <si>
    <t>Розрахунок тарифів на постачання теплової енергії КП "Тепловик" на  період з 01.10.2021р. по 30.09.2022р.</t>
  </si>
  <si>
    <t>Плановий період з 01.10.2021р. по 30.09.2022р.</t>
  </si>
  <si>
    <t>прямі матеріальні витрати </t>
  </si>
  <si>
    <t>прямі витрати на оплату праці </t>
  </si>
  <si>
    <t>інші прямі витрати, у тому числі: </t>
  </si>
  <si>
    <t>1.3.1 </t>
  </si>
  <si>
    <t>амортизаційні відрахування </t>
  </si>
  <si>
    <t>Розрахунковий прибуток, усього, у тому числі: </t>
  </si>
  <si>
    <t>Вартість постачання теплової енергії за відповідними тарифами </t>
  </si>
  <si>
    <t>Середньозважений тариф на постачання теплової енергії </t>
  </si>
  <si>
    <t>Обсяг реалізованої теплової енергії власним споживачам, у тому числі на потреби: </t>
  </si>
  <si>
    <t>10.3 </t>
  </si>
  <si>
    <t>діючий тариф</t>
  </si>
  <si>
    <t>плановий тариф</t>
  </si>
  <si>
    <t>середньозважені показники</t>
  </si>
  <si>
    <t>для потреб населення №355</t>
  </si>
  <si>
    <t>для потреб інших споживачів №355</t>
  </si>
  <si>
    <t>(6235,51)                   природний газ(/5092,16*4048)</t>
  </si>
  <si>
    <t>(157,19)           транспортування (/5092,16*124,16)</t>
  </si>
  <si>
    <t>(595,20)                                розподіл(/5092,16*920)</t>
  </si>
  <si>
    <t>Додаток 6</t>
  </si>
  <si>
    <t xml:space="preserve">Структура тарифу на виробництво теплової енергії комунального підприємства по експлуатації теплового господарства "Тепловик" Старокостянтинівської міської ради </t>
  </si>
  <si>
    <t>Для потреб населення</t>
  </si>
  <si>
    <t>1.1.3.</t>
  </si>
  <si>
    <t>1.1.4.</t>
  </si>
  <si>
    <t>інше використання прибутку</t>
  </si>
  <si>
    <t xml:space="preserve">Структура тарифу на транспортування теплової енергії комунального підприємства по експлуатації теплового господарства "Тепловик" Старокостянтинівської міської ради </t>
  </si>
  <si>
    <t xml:space="preserve">Структура тарифу на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</si>
  <si>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 xml:space="preserve">Структура тарифу на теплову енергію комунального підприємства по експлуатації теплового господарства "Тепловик" Старокостянтинівської міської ради </t>
  </si>
  <si>
    <t xml:space="preserve">Для потреб бюджетних установ </t>
  </si>
  <si>
    <t xml:space="preserve">Для потреб інших споживачів </t>
  </si>
  <si>
    <t>Тариф на теплову енергію, гнр./Гкал, без ПДВ</t>
  </si>
  <si>
    <t>Керуючий справами виконачого комітету міської ради                                                                         Наталія ШАБЕЛЬНИК</t>
  </si>
  <si>
    <t>інші прямі витрати</t>
  </si>
  <si>
    <t>за 1 Гкал</t>
  </si>
  <si>
    <t xml:space="preserve">тис. грн на рік </t>
  </si>
  <si>
    <t>Додаток  1                                                                                               до рішення                           виконавчого комітету                         міської ради</t>
  </si>
  <si>
    <t>Керуючий справами виконачого комітету Старокостянтинівської міської ради                                                                                            Наталія ШАБЕЛЬНИК</t>
  </si>
  <si>
    <t>Додаток  2                                                                                               до рішення                           виконавчого комітету                         міської ради</t>
  </si>
  <si>
    <t>Додаток  3                                                                                               до рішення                           виконавчого комітету                         міської ради</t>
  </si>
  <si>
    <t>Додаток  4                                                                                              до рішення                           виконавчого комітету                         міської ради</t>
  </si>
  <si>
    <t>Додаток  5                                                                                               до рішення                           виконавчого комітету                         міської ради</t>
  </si>
  <si>
    <t xml:space="preserve">до рішення виконавчого </t>
  </si>
  <si>
    <t>комітету міської ради</t>
  </si>
  <si>
    <t xml:space="preserve"> Структура  тарифів на послуги з централізованого  постачання гарячої води комунальним підприємством по експлуатації теплового господарства "Тепловик" Старокостянтинівської міської ради</t>
  </si>
  <si>
    <t>№ з/п</t>
  </si>
  <si>
    <t>Назва показника</t>
  </si>
  <si>
    <t>Послуга з централізованого опалення</t>
  </si>
  <si>
    <t>Послуга з  постачання гарячої води</t>
  </si>
  <si>
    <t>для абонентів житлових будинків з будинковими та квартирними приладами обліку теплової енергії</t>
  </si>
  <si>
    <t>для абонентів житлових будинків без будинкових та квартирних приладів обліку теплової енергії</t>
  </si>
  <si>
    <t>за умови підключення рушникосушильників до системи гарячого водопостачання</t>
  </si>
  <si>
    <t>за умови відсутності рушникосушильників</t>
  </si>
  <si>
    <t>грн/Гкал</t>
  </si>
  <si>
    <t>грн/кв.м на місяць</t>
  </si>
  <si>
    <t>грн/куб.м</t>
  </si>
  <si>
    <t>Собівартість власної теплової енергії, врахована у встановлених тарифах на теплову енергію для потреб населення</t>
  </si>
  <si>
    <t>витрати на утримання абонентської служби, усього, у тому числі</t>
  </si>
  <si>
    <t>інші витрати абонентської служби</t>
  </si>
  <si>
    <t>витрати з проведенням періодичної повірки, обслуговування і ремонту квартирних засобів обліку, у тому числі їх демонтажу, транспортування та монтажу після повірки</t>
  </si>
  <si>
    <t>Витрати на придбання води на послугу з  постачання гарячої води</t>
  </si>
  <si>
    <t>Решта витрат</t>
  </si>
  <si>
    <t xml:space="preserve">Собівартість послуг </t>
  </si>
  <si>
    <t>послуги банку</t>
  </si>
  <si>
    <t>повна планова собівартість послуг з урахуванням послуг банку</t>
  </si>
  <si>
    <t>9</t>
  </si>
  <si>
    <t>Розрахунковий прибуток, усього, у тому числі:</t>
  </si>
  <si>
    <t>чистий прибуток</t>
  </si>
  <si>
    <t>тариф на послугу</t>
  </si>
  <si>
    <t>податок на додану вартість</t>
  </si>
  <si>
    <t>Тариф на послугу з ПДВ</t>
  </si>
  <si>
    <t>планований тариф на послугу з централізованого опаленя, грн/м2 за місяць протягом опалювального періоду, з ПДВ</t>
  </si>
  <si>
    <t>планована тривалість опалювального періоду, діб</t>
  </si>
  <si>
    <t>Керуючий справами  виконавчого комітету міської ради                        Наталія ШАБЕЛЬНИК</t>
  </si>
  <si>
    <t>5.1</t>
  </si>
  <si>
    <t>5.2</t>
  </si>
  <si>
    <t>тариф на послугу, грн без ПДВ</t>
  </si>
  <si>
    <t>Тариф на послугу, грн з ПДВ</t>
  </si>
  <si>
    <t xml:space="preserve">Структура тарифу на послуги з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</si>
  <si>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>грн за 1 Гкал</t>
  </si>
  <si>
    <t>Тариф на теплову енергію, грн/Гкал, без ПДВ</t>
  </si>
  <si>
    <t>Тариф на теплову енергію, грн/Гкал, з ПДВ</t>
  </si>
  <si>
    <t>Обсяг реалізації теплової енергії власним споживачам, Гкал</t>
  </si>
  <si>
    <t>собівартість теплової енергії власних  КГУ</t>
  </si>
  <si>
    <t>Розрахунковий прибуток, у т. ч.:</t>
  </si>
  <si>
    <t xml:space="preserve">Структура тарифу на  теплову енергію комунального підприємства по експлуатації теплового господарства "Тепловик" Старокостянтинівської міської ради </t>
  </si>
  <si>
    <t>Обсяг виробництва теплової енергії власним споживачам, Гкал</t>
  </si>
  <si>
    <t>собівартість теплової енергії власних  когенераційних установок</t>
  </si>
  <si>
    <t>собівартість теплової енергії власних когенераційних установок</t>
  </si>
  <si>
    <t>Начальник управління житлово-комунального господарства та інфраструктури виконавчого комітету Старокостянтинівської  міської ради                             Світлана ОВЧАР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</si>
  <si>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                      Світлана ОВЧАР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</si>
  <si>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       Світлана ОВЧАР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</si>
  <si>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         Світлана ОВЧАР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</si>
  <si>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    Світлана ОВЧАР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</si>
</sst>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_-* #,##0.00_₴_-;\-* #,##0.00_₴_-;_-* &quot;-&quot;??_₴_-;_-@_-"/>
    <numFmt numFmtId="166" formatCode="0.0000"/>
    <numFmt numFmtId="167" formatCode="0.0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9" fillId="0" borderId="0" applyFont="0" applyFill="0" applyBorder="0" applyAlignment="0" applyProtection="0"/>
  </cellStyleXfs>
  <cellXfs count="136">
    <xf numFmtId="0" fontId="0" fillId="0" borderId="0" xfId="0"/>
    <xf numFmtId="0" fontId="3" fillId="0" borderId="0" xfId="1" applyFont="1"/>
    <xf numFmtId="0" fontId="3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/>
    <xf numFmtId="0" fontId="7" fillId="0" borderId="1" xfId="0" applyFont="1" applyBorder="1"/>
    <xf numFmtId="0" fontId="7" fillId="0" borderId="0" xfId="0" applyFont="1"/>
    <xf numFmtId="0" fontId="7" fillId="0" borderId="1" xfId="0" applyFont="1" applyBorder="1" applyAlignment="1">
      <alignment wrapText="1"/>
    </xf>
    <xf numFmtId="2" fontId="7" fillId="0" borderId="1" xfId="0" applyNumberFormat="1" applyFont="1" applyBorder="1"/>
    <xf numFmtId="0" fontId="7" fillId="5" borderId="1" xfId="0" applyFont="1" applyFill="1" applyBorder="1"/>
    <xf numFmtId="0" fontId="7" fillId="0" borderId="1" xfId="0" applyFont="1" applyBorder="1" applyAlignment="1">
      <alignment horizontal="left" vertical="top"/>
    </xf>
    <xf numFmtId="2" fontId="8" fillId="0" borderId="1" xfId="0" applyNumberFormat="1" applyFont="1" applyBorder="1"/>
    <xf numFmtId="0" fontId="7" fillId="5" borderId="1" xfId="0" applyFont="1" applyFill="1" applyBorder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4" fontId="7" fillId="0" borderId="1" xfId="2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8" fillId="0" borderId="1" xfId="2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66" fontId="7" fillId="0" borderId="1" xfId="0" applyNumberFormat="1" applyFont="1" applyBorder="1"/>
    <xf numFmtId="166" fontId="8" fillId="0" borderId="1" xfId="0" applyNumberFormat="1" applyFont="1" applyBorder="1"/>
    <xf numFmtId="2" fontId="3" fillId="0" borderId="1" xfId="0" applyNumberFormat="1" applyFont="1" applyBorder="1"/>
    <xf numFmtId="167" fontId="0" fillId="0" borderId="0" xfId="0" applyNumberFormat="1"/>
    <xf numFmtId="167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/>
    <xf numFmtId="0" fontId="7" fillId="6" borderId="1" xfId="0" applyFont="1" applyFill="1" applyBorder="1" applyAlignment="1">
      <alignment wrapText="1"/>
    </xf>
    <xf numFmtId="2" fontId="3" fillId="0" borderId="1" xfId="0" applyNumberFormat="1" applyFont="1" applyBorder="1" applyAlignment="1">
      <alignment horizontal="center"/>
    </xf>
    <xf numFmtId="0" fontId="11" fillId="0" borderId="0" xfId="0" applyFont="1"/>
    <xf numFmtId="0" fontId="3" fillId="6" borderId="1" xfId="0" applyFont="1" applyFill="1" applyBorder="1"/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2" fontId="11" fillId="0" borderId="0" xfId="0" applyNumberFormat="1" applyFont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5" borderId="1" xfId="0" applyFont="1" applyFill="1" applyBorder="1"/>
    <xf numFmtId="49" fontId="3" fillId="6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3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4" borderId="3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49" fontId="3" fillId="6" borderId="6" xfId="0" applyNumberFormat="1" applyFont="1" applyFill="1" applyBorder="1" applyAlignment="1">
      <alignment horizontal="center" vertical="center"/>
    </xf>
    <xf numFmtId="49" fontId="3" fillId="6" borderId="8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6" borderId="0" xfId="0" applyFont="1" applyFill="1"/>
    <xf numFmtId="2" fontId="3" fillId="6" borderId="1" xfId="0" applyNumberFormat="1" applyFont="1" applyFill="1" applyBorder="1"/>
    <xf numFmtId="2" fontId="11" fillId="6" borderId="0" xfId="0" applyNumberFormat="1" applyFont="1" applyFill="1"/>
    <xf numFmtId="2" fontId="3" fillId="6" borderId="1" xfId="0" applyNumberFormat="1" applyFont="1" applyFill="1" applyBorder="1" applyAlignment="1">
      <alignment horizontal="center"/>
    </xf>
    <xf numFmtId="49" fontId="3" fillId="6" borderId="1" xfId="0" applyNumberFormat="1" applyFont="1" applyFill="1" applyBorder="1" applyAlignment="1">
      <alignment horizontal="center" vertical="top"/>
    </xf>
    <xf numFmtId="0" fontId="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top"/>
    </xf>
  </cellXfs>
  <cellStyles count="3">
    <cellStyle name="Звичайний" xfId="0" builtinId="0"/>
    <cellStyle name="Обычный 2" xfId="1" xr:uid="{00000000-0005-0000-0000-000002000000}"/>
    <cellStyle name="Фінансови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5"/>
  <sheetViews>
    <sheetView topLeftCell="D48" workbookViewId="0">
      <selection activeCell="A4" sqref="A4:S68"/>
    </sheetView>
  </sheetViews>
  <sheetFormatPr defaultRowHeight="14.4" x14ac:dyDescent="0.3"/>
  <cols>
    <col min="2" max="2" width="57" customWidth="1"/>
    <col min="3" max="3" width="12.109375" customWidth="1"/>
    <col min="4" max="4" width="15.44140625" customWidth="1"/>
    <col min="5" max="5" width="13.6640625" customWidth="1"/>
    <col min="6" max="6" width="4" customWidth="1"/>
    <col min="7" max="7" width="19.109375" customWidth="1"/>
    <col min="8" max="8" width="13.44140625" customWidth="1"/>
    <col min="9" max="9" width="12.88671875" customWidth="1"/>
    <col min="10" max="10" width="4.109375" customWidth="1"/>
    <col min="11" max="11" width="16.109375" customWidth="1"/>
    <col min="12" max="12" width="13.88671875" customWidth="1"/>
    <col min="13" max="13" width="14.33203125" customWidth="1"/>
    <col min="14" max="14" width="2.44140625" customWidth="1"/>
    <col min="15" max="15" width="18" customWidth="1"/>
    <col min="16" max="16" width="13" customWidth="1"/>
    <col min="17" max="17" width="11.44140625" customWidth="1"/>
    <col min="18" max="18" width="4.109375" customWidth="1"/>
    <col min="19" max="19" width="16.88671875" customWidth="1"/>
  </cols>
  <sheetData>
    <row r="1" spans="1:19" x14ac:dyDescent="0.3">
      <c r="N1" s="76" t="s">
        <v>182</v>
      </c>
      <c r="O1" s="76"/>
      <c r="P1" s="76"/>
      <c r="Q1" s="76"/>
      <c r="R1" s="76"/>
      <c r="S1" s="76"/>
    </row>
    <row r="2" spans="1:19" ht="42.75" customHeight="1" x14ac:dyDescent="0.3">
      <c r="N2" s="79" t="s">
        <v>0</v>
      </c>
      <c r="O2" s="79"/>
      <c r="P2" s="79"/>
      <c r="Q2" s="79"/>
      <c r="R2" s="79"/>
      <c r="S2" s="79"/>
    </row>
    <row r="4" spans="1:19" ht="34.5" customHeight="1" x14ac:dyDescent="0.35">
      <c r="A4" s="80" t="s">
        <v>1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</row>
    <row r="5" spans="1:19" x14ac:dyDescent="0.3">
      <c r="S5" s="4" t="s">
        <v>2</v>
      </c>
    </row>
    <row r="6" spans="1:19" ht="46.5" customHeight="1" x14ac:dyDescent="0.3">
      <c r="A6" s="9" t="s">
        <v>3</v>
      </c>
      <c r="B6" s="9" t="s">
        <v>4</v>
      </c>
      <c r="C6" s="9" t="s">
        <v>5</v>
      </c>
      <c r="D6" s="81" t="s">
        <v>6</v>
      </c>
      <c r="E6" s="82"/>
      <c r="F6" s="82"/>
      <c r="G6" s="83"/>
      <c r="H6" s="81" t="s">
        <v>7</v>
      </c>
      <c r="I6" s="82"/>
      <c r="J6" s="82"/>
      <c r="K6" s="83"/>
      <c r="L6" s="81" t="s">
        <v>8</v>
      </c>
      <c r="M6" s="82"/>
      <c r="N6" s="82"/>
      <c r="O6" s="83"/>
      <c r="P6" s="81" t="s">
        <v>9</v>
      </c>
      <c r="Q6" s="82"/>
      <c r="R6" s="82"/>
      <c r="S6" s="83"/>
    </row>
    <row r="7" spans="1:19" ht="77.25" customHeight="1" x14ac:dyDescent="0.3">
      <c r="A7" s="9"/>
      <c r="B7" s="9"/>
      <c r="C7" s="9"/>
      <c r="D7" s="10" t="s">
        <v>10</v>
      </c>
      <c r="E7" s="10" t="s">
        <v>11</v>
      </c>
      <c r="F7" s="10" t="s">
        <v>12</v>
      </c>
      <c r="G7" s="10" t="s">
        <v>13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11</v>
      </c>
      <c r="N7" s="10" t="s">
        <v>12</v>
      </c>
      <c r="O7" s="10" t="s">
        <v>13</v>
      </c>
      <c r="P7" s="10" t="s">
        <v>10</v>
      </c>
      <c r="Q7" s="10" t="s">
        <v>11</v>
      </c>
      <c r="R7" s="10" t="s">
        <v>12</v>
      </c>
      <c r="S7" s="10" t="s">
        <v>13</v>
      </c>
    </row>
    <row r="8" spans="1:19" x14ac:dyDescent="0.3">
      <c r="A8" s="9">
        <v>1</v>
      </c>
      <c r="B8" s="9">
        <v>2</v>
      </c>
      <c r="C8" s="9" t="s">
        <v>15</v>
      </c>
      <c r="D8" s="9" t="s">
        <v>16</v>
      </c>
      <c r="E8" s="9" t="s">
        <v>17</v>
      </c>
      <c r="F8" s="9" t="s">
        <v>18</v>
      </c>
      <c r="G8" s="9" t="s">
        <v>19</v>
      </c>
      <c r="H8" s="9" t="s">
        <v>20</v>
      </c>
      <c r="I8" s="9" t="s">
        <v>21</v>
      </c>
      <c r="J8" s="9" t="s">
        <v>22</v>
      </c>
      <c r="K8" s="9" t="s">
        <v>23</v>
      </c>
      <c r="L8" s="9" t="s">
        <v>24</v>
      </c>
      <c r="M8" s="9" t="s">
        <v>25</v>
      </c>
      <c r="N8" s="9" t="s">
        <v>26</v>
      </c>
      <c r="O8" s="9" t="s">
        <v>27</v>
      </c>
      <c r="P8" s="9" t="s">
        <v>28</v>
      </c>
      <c r="Q8" s="9" t="s">
        <v>29</v>
      </c>
      <c r="R8" s="9" t="s">
        <v>30</v>
      </c>
      <c r="S8" s="9" t="s">
        <v>31</v>
      </c>
    </row>
    <row r="9" spans="1:19" x14ac:dyDescent="0.3">
      <c r="A9" s="4">
        <v>1</v>
      </c>
      <c r="B9" s="4" t="s">
        <v>32</v>
      </c>
      <c r="C9" s="4" t="s">
        <v>33</v>
      </c>
      <c r="D9" s="4">
        <v>61870.063399999999</v>
      </c>
      <c r="E9" s="4">
        <v>57074.879999999997</v>
      </c>
      <c r="F9" s="4" t="s">
        <v>34</v>
      </c>
      <c r="G9" s="4">
        <v>87459.110780644362</v>
      </c>
      <c r="H9" s="4">
        <v>46091.871621999999</v>
      </c>
      <c r="I9" s="4">
        <v>43135.11236752</v>
      </c>
      <c r="J9" s="4" t="s">
        <v>34</v>
      </c>
      <c r="K9" s="9">
        <v>65455.925546036364</v>
      </c>
      <c r="L9" s="4">
        <v>7085.5792760000004</v>
      </c>
      <c r="M9" s="4">
        <v>6522.4596560400005</v>
      </c>
      <c r="N9" s="4" t="s">
        <v>34</v>
      </c>
      <c r="O9" s="9">
        <v>20523.17156696464</v>
      </c>
      <c r="P9" s="4">
        <v>466.96163400000148</v>
      </c>
      <c r="Q9" s="4">
        <v>946.33717644000239</v>
      </c>
      <c r="R9" s="4" t="s">
        <v>35</v>
      </c>
      <c r="S9" s="9">
        <v>1480.774667643354</v>
      </c>
    </row>
    <row r="10" spans="1:19" x14ac:dyDescent="0.3">
      <c r="A10" s="4" t="s">
        <v>36</v>
      </c>
      <c r="B10" s="4" t="s">
        <v>37</v>
      </c>
      <c r="C10" s="4" t="s">
        <v>38</v>
      </c>
      <c r="D10" s="4">
        <v>50259.03</v>
      </c>
      <c r="E10" s="4">
        <v>46932.499999999993</v>
      </c>
      <c r="F10" s="4" t="s">
        <v>34</v>
      </c>
      <c r="G10" s="4">
        <v>70107.393020824282</v>
      </c>
      <c r="H10" s="4">
        <v>36111.3505</v>
      </c>
      <c r="I10" s="4">
        <v>34386.169899999994</v>
      </c>
      <c r="J10" s="4" t="s">
        <v>34</v>
      </c>
      <c r="K10" s="9">
        <v>51202.071278760268</v>
      </c>
      <c r="L10" s="4">
        <v>5913.9093999999996</v>
      </c>
      <c r="M10" s="4">
        <v>5379.6252300000006</v>
      </c>
      <c r="N10" s="4" t="s">
        <v>34</v>
      </c>
      <c r="O10" s="9">
        <v>17633.781998153037</v>
      </c>
      <c r="P10" s="4">
        <v>216.95010000000136</v>
      </c>
      <c r="Q10" s="4">
        <v>682.51487000000247</v>
      </c>
      <c r="R10" s="4" t="s">
        <v>35</v>
      </c>
      <c r="S10" s="9">
        <v>1272.3047439109685</v>
      </c>
    </row>
    <row r="11" spans="1:19" x14ac:dyDescent="0.3">
      <c r="A11" s="4" t="s">
        <v>39</v>
      </c>
      <c r="B11" s="4" t="s">
        <v>40</v>
      </c>
      <c r="C11" s="4" t="s">
        <v>38</v>
      </c>
      <c r="D11" s="4">
        <v>39683.4</v>
      </c>
      <c r="E11" s="4">
        <v>37947.699999999997</v>
      </c>
      <c r="F11" s="4" t="s">
        <v>34</v>
      </c>
      <c r="G11" s="4">
        <v>68318.683793124088</v>
      </c>
      <c r="H11" s="4">
        <v>33929.307000000001</v>
      </c>
      <c r="I11" s="4">
        <v>32255.544999999995</v>
      </c>
      <c r="J11" s="4" t="s">
        <v>34</v>
      </c>
      <c r="K11" s="9">
        <v>49907.870589102793</v>
      </c>
      <c r="L11" s="4">
        <v>5555.6759999999995</v>
      </c>
      <c r="M11" s="4">
        <v>5047.0441000000001</v>
      </c>
      <c r="N11" s="4" t="s">
        <v>34</v>
      </c>
      <c r="O11" s="9">
        <v>17172.550882001957</v>
      </c>
      <c r="P11" s="4">
        <v>198.41700000000128</v>
      </c>
      <c r="Q11" s="4">
        <v>645.1109000000024</v>
      </c>
      <c r="R11" s="4" t="s">
        <v>35</v>
      </c>
      <c r="S11" s="9">
        <v>1239.0273220193383</v>
      </c>
    </row>
    <row r="12" spans="1:19" x14ac:dyDescent="0.3">
      <c r="A12" s="4" t="s">
        <v>41</v>
      </c>
      <c r="B12" s="4" t="s">
        <v>42</v>
      </c>
      <c r="C12" s="4" t="s">
        <v>38</v>
      </c>
      <c r="D12" s="4">
        <v>1411</v>
      </c>
      <c r="E12" s="4">
        <v>1479.33</v>
      </c>
      <c r="F12" s="4" t="s">
        <v>34</v>
      </c>
      <c r="G12" s="4">
        <v>1493.7103777001887</v>
      </c>
      <c r="H12" s="4">
        <v>1206.405</v>
      </c>
      <c r="I12" s="4">
        <v>1257.4304999999999</v>
      </c>
      <c r="J12" s="4" t="s">
        <v>34</v>
      </c>
      <c r="K12" s="9">
        <v>1227.0329852044104</v>
      </c>
      <c r="L12" s="4">
        <v>197.54</v>
      </c>
      <c r="M12" s="4">
        <v>196.75089</v>
      </c>
      <c r="N12" s="4" t="s">
        <v>34</v>
      </c>
      <c r="O12" s="9">
        <v>248.73106189789232</v>
      </c>
      <c r="P12" s="4">
        <v>7.0550000000000352</v>
      </c>
      <c r="Q12" s="4">
        <v>25.148609999999991</v>
      </c>
      <c r="R12" s="4" t="s">
        <v>35</v>
      </c>
      <c r="S12" s="9">
        <v>17.94633059788605</v>
      </c>
    </row>
    <row r="13" spans="1:19" ht="28.8" x14ac:dyDescent="0.3">
      <c r="A13" s="4" t="s">
        <v>43</v>
      </c>
      <c r="B13" s="5" t="s">
        <v>44</v>
      </c>
      <c r="C13" s="4" t="s">
        <v>38</v>
      </c>
      <c r="D13" s="4">
        <v>0</v>
      </c>
      <c r="E13" s="4">
        <v>0</v>
      </c>
      <c r="F13" s="4" t="s">
        <v>34</v>
      </c>
      <c r="G13" s="4">
        <v>0</v>
      </c>
      <c r="H13" s="4">
        <v>0</v>
      </c>
      <c r="I13" s="4">
        <v>0</v>
      </c>
      <c r="J13" s="4">
        <v>0</v>
      </c>
      <c r="K13" s="9">
        <v>0</v>
      </c>
      <c r="L13" s="4">
        <v>0</v>
      </c>
      <c r="M13" s="4">
        <v>0</v>
      </c>
      <c r="N13" s="4" t="s">
        <v>34</v>
      </c>
      <c r="O13" s="9">
        <v>0</v>
      </c>
      <c r="P13" s="4">
        <v>0</v>
      </c>
      <c r="Q13" s="4">
        <v>0</v>
      </c>
      <c r="R13" s="4" t="s">
        <v>35</v>
      </c>
      <c r="S13" s="9">
        <v>0</v>
      </c>
    </row>
    <row r="14" spans="1:19" x14ac:dyDescent="0.3">
      <c r="A14" s="4" t="s">
        <v>45</v>
      </c>
      <c r="B14" s="4" t="s">
        <v>46</v>
      </c>
      <c r="C14" s="4" t="s">
        <v>38</v>
      </c>
      <c r="D14" s="4">
        <v>105</v>
      </c>
      <c r="E14" s="4">
        <v>95.49</v>
      </c>
      <c r="F14" s="4" t="s">
        <v>34</v>
      </c>
      <c r="G14" s="4">
        <v>20.898849999999999</v>
      </c>
      <c r="H14" s="4">
        <v>89.25</v>
      </c>
      <c r="I14" s="4">
        <v>81.64394999999999</v>
      </c>
      <c r="J14" s="4" t="s">
        <v>34</v>
      </c>
      <c r="K14" s="9">
        <v>17.167704453069188</v>
      </c>
      <c r="L14" s="4">
        <v>14.7</v>
      </c>
      <c r="M14" s="4">
        <v>12.70017</v>
      </c>
      <c r="N14" s="4" t="s">
        <v>34</v>
      </c>
      <c r="O14" s="9">
        <v>3.4800542531867755</v>
      </c>
      <c r="P14" s="4">
        <v>1.0500000000000007</v>
      </c>
      <c r="Q14" s="4">
        <v>1.1458800000000053</v>
      </c>
      <c r="R14" s="4" t="s">
        <v>35</v>
      </c>
      <c r="S14" s="9">
        <v>0.25109129374403449</v>
      </c>
    </row>
    <row r="15" spans="1:19" x14ac:dyDescent="0.3">
      <c r="A15" s="4" t="s">
        <v>47</v>
      </c>
      <c r="B15" s="4" t="s">
        <v>48</v>
      </c>
      <c r="C15" s="4" t="s">
        <v>38</v>
      </c>
      <c r="D15" s="4">
        <v>1042.81</v>
      </c>
      <c r="E15" s="4">
        <v>925.79</v>
      </c>
      <c r="F15" s="4" t="s">
        <v>34</v>
      </c>
      <c r="G15" s="4">
        <v>274.10000000000002</v>
      </c>
      <c r="H15" s="4">
        <v>886.38849999999991</v>
      </c>
      <c r="I15" s="4">
        <v>791.55044999999996</v>
      </c>
      <c r="J15" s="4" t="s">
        <v>34</v>
      </c>
      <c r="K15" s="9">
        <v>50</v>
      </c>
      <c r="L15" s="4">
        <v>145.99340000000001</v>
      </c>
      <c r="M15" s="4">
        <v>123.13006999999999</v>
      </c>
      <c r="N15" s="4" t="s">
        <v>34</v>
      </c>
      <c r="O15" s="9">
        <v>209.02</v>
      </c>
      <c r="P15" s="4">
        <v>10.428100000000029</v>
      </c>
      <c r="Q15" s="4">
        <v>11.109480000000019</v>
      </c>
      <c r="R15" s="4" t="s">
        <v>35</v>
      </c>
      <c r="S15" s="9">
        <v>15.08</v>
      </c>
    </row>
    <row r="16" spans="1:19" x14ac:dyDescent="0.3">
      <c r="A16" s="4" t="s">
        <v>49</v>
      </c>
      <c r="B16" s="4" t="s">
        <v>50</v>
      </c>
      <c r="C16" s="4" t="s">
        <v>38</v>
      </c>
      <c r="D16" s="4">
        <v>4031</v>
      </c>
      <c r="E16" s="4">
        <v>3462.86</v>
      </c>
      <c r="F16" s="4" t="s">
        <v>34</v>
      </c>
      <c r="G16" s="4">
        <v>5686.2849999999999</v>
      </c>
      <c r="H16" s="4">
        <v>3517.4506000000001</v>
      </c>
      <c r="I16" s="4">
        <v>3014.7659160000003</v>
      </c>
      <c r="J16" s="4" t="s">
        <v>34</v>
      </c>
      <c r="K16" s="9">
        <v>4671.0924436474033</v>
      </c>
      <c r="L16" s="4">
        <v>322.48</v>
      </c>
      <c r="M16" s="4">
        <v>289.84138200000001</v>
      </c>
      <c r="N16" s="4" t="s">
        <v>34</v>
      </c>
      <c r="O16" s="9">
        <v>946.8741246088739</v>
      </c>
      <c r="P16" s="4">
        <v>191.0694</v>
      </c>
      <c r="Q16" s="4">
        <v>158.252702</v>
      </c>
      <c r="R16" s="4" t="s">
        <v>35</v>
      </c>
      <c r="S16" s="9">
        <v>68.318431743722613</v>
      </c>
    </row>
    <row r="17" spans="1:19" x14ac:dyDescent="0.3">
      <c r="A17" s="4" t="s">
        <v>51</v>
      </c>
      <c r="B17" s="4" t="s">
        <v>52</v>
      </c>
      <c r="C17" s="4" t="s">
        <v>38</v>
      </c>
      <c r="D17" s="4">
        <v>3985.82</v>
      </c>
      <c r="E17" s="4">
        <v>3021.33</v>
      </c>
      <c r="F17" s="4" t="s">
        <v>34</v>
      </c>
      <c r="G17" s="4">
        <v>4470.8233099999998</v>
      </c>
      <c r="H17" s="4">
        <v>3407.9891319999997</v>
      </c>
      <c r="I17" s="4">
        <v>2606.42410152</v>
      </c>
      <c r="J17" s="4" t="s">
        <v>34</v>
      </c>
      <c r="K17" s="9">
        <v>3672.6314245986041</v>
      </c>
      <c r="L17" s="4">
        <v>346</v>
      </c>
      <c r="M17" s="4">
        <v>366.45377404000004</v>
      </c>
      <c r="N17" s="4" t="s">
        <v>34</v>
      </c>
      <c r="O17" s="9">
        <v>744.47673796462857</v>
      </c>
      <c r="P17" s="4">
        <v>23</v>
      </c>
      <c r="Q17" s="4">
        <v>61.671324439999964</v>
      </c>
      <c r="R17" s="4" t="s">
        <v>35</v>
      </c>
      <c r="S17" s="9">
        <v>53.711147436767419</v>
      </c>
    </row>
    <row r="18" spans="1:19" x14ac:dyDescent="0.3">
      <c r="A18" s="4" t="s">
        <v>53</v>
      </c>
      <c r="B18" s="4" t="s">
        <v>54</v>
      </c>
      <c r="C18" s="4" t="s">
        <v>38</v>
      </c>
      <c r="D18" s="4">
        <v>886.82</v>
      </c>
      <c r="E18" s="4">
        <v>748.61</v>
      </c>
      <c r="F18" s="4" t="s">
        <v>34</v>
      </c>
      <c r="G18" s="4">
        <v>1250.9827</v>
      </c>
      <c r="H18" s="4">
        <v>773.83913200000006</v>
      </c>
      <c r="I18" s="4">
        <v>663.24850151999999</v>
      </c>
      <c r="J18" s="4" t="s">
        <v>34</v>
      </c>
      <c r="K18" s="9">
        <v>1027.6403376024286</v>
      </c>
      <c r="L18" s="4">
        <v>70.945599999999999</v>
      </c>
      <c r="M18" s="4">
        <v>63.765104040000004</v>
      </c>
      <c r="N18" s="4" t="s">
        <v>34</v>
      </c>
      <c r="O18" s="9">
        <v>208.31230741395225</v>
      </c>
      <c r="P18" s="4">
        <v>42.035267999999995</v>
      </c>
      <c r="Q18" s="4">
        <v>34.815594439999998</v>
      </c>
      <c r="R18" s="4" t="s">
        <v>35</v>
      </c>
      <c r="S18" s="9">
        <v>15.030054983618975</v>
      </c>
    </row>
    <row r="19" spans="1:19" x14ac:dyDescent="0.3">
      <c r="A19" s="4" t="s">
        <v>55</v>
      </c>
      <c r="B19" s="4" t="s">
        <v>56</v>
      </c>
      <c r="C19" s="4" t="s">
        <v>38</v>
      </c>
      <c r="D19" s="4">
        <v>706</v>
      </c>
      <c r="E19" s="4">
        <v>1389.7</v>
      </c>
      <c r="F19" s="4" t="s">
        <v>34</v>
      </c>
      <c r="G19" s="4">
        <v>1795.4</v>
      </c>
      <c r="H19" s="4">
        <v>600.1</v>
      </c>
      <c r="I19" s="4">
        <v>1188.1935000000001</v>
      </c>
      <c r="J19" s="4" t="s">
        <v>34</v>
      </c>
      <c r="K19" s="9">
        <v>1474.8608930654282</v>
      </c>
      <c r="L19" s="4">
        <v>98.84</v>
      </c>
      <c r="M19" s="4">
        <v>185.24701000000002</v>
      </c>
      <c r="N19" s="4" t="s">
        <v>34</v>
      </c>
      <c r="O19" s="9">
        <v>298.96809662596445</v>
      </c>
      <c r="P19" s="4">
        <v>7.0599999999999739</v>
      </c>
      <c r="Q19" s="4">
        <v>16.259489999999943</v>
      </c>
      <c r="R19" s="4" t="s">
        <v>35</v>
      </c>
      <c r="S19" s="9">
        <v>21.571010308607391</v>
      </c>
    </row>
    <row r="20" spans="1:19" x14ac:dyDescent="0.3">
      <c r="A20" s="4" t="s">
        <v>57</v>
      </c>
      <c r="B20" s="4" t="s">
        <v>58</v>
      </c>
      <c r="C20" s="4" t="s">
        <v>38</v>
      </c>
      <c r="D20" s="4">
        <v>2393</v>
      </c>
      <c r="E20" s="4">
        <v>883.02</v>
      </c>
      <c r="F20" s="4" t="s">
        <v>34</v>
      </c>
      <c r="G20" s="4">
        <v>1424.4406100000001</v>
      </c>
      <c r="H20" s="4">
        <v>2034.05</v>
      </c>
      <c r="I20" s="4">
        <v>754.98209999999995</v>
      </c>
      <c r="J20" s="4" t="s">
        <v>34</v>
      </c>
      <c r="K20" s="9">
        <v>1170.1301939307471</v>
      </c>
      <c r="L20" s="4">
        <v>335.02</v>
      </c>
      <c r="M20" s="4">
        <v>117.44166000000001</v>
      </c>
      <c r="N20" s="4" t="s">
        <v>34</v>
      </c>
      <c r="O20" s="9">
        <v>237.19633392471189</v>
      </c>
      <c r="P20" s="4">
        <v>23.930000000000064</v>
      </c>
      <c r="Q20" s="4">
        <v>10.596240000000023</v>
      </c>
      <c r="R20" s="4" t="s">
        <v>35</v>
      </c>
      <c r="S20" s="9">
        <v>17.114082144541051</v>
      </c>
    </row>
    <row r="21" spans="1:19" x14ac:dyDescent="0.3">
      <c r="A21" s="4" t="s">
        <v>59</v>
      </c>
      <c r="B21" s="4" t="s">
        <v>60</v>
      </c>
      <c r="C21" s="4" t="s">
        <v>38</v>
      </c>
      <c r="D21" s="4">
        <v>3594.2133999999996</v>
      </c>
      <c r="E21" s="4">
        <v>3658.19</v>
      </c>
      <c r="F21" s="4" t="s">
        <v>34</v>
      </c>
      <c r="G21" s="4">
        <v>7194.6094498200873</v>
      </c>
      <c r="H21" s="4">
        <v>3055.0813899999998</v>
      </c>
      <c r="I21" s="4">
        <v>3127.75245</v>
      </c>
      <c r="J21" s="4" t="s">
        <v>34</v>
      </c>
      <c r="K21" s="9">
        <v>5910.1303990300903</v>
      </c>
      <c r="L21" s="4">
        <v>503.18987599999997</v>
      </c>
      <c r="M21" s="4">
        <v>486.53926999999999</v>
      </c>
      <c r="N21" s="4" t="s">
        <v>34</v>
      </c>
      <c r="O21" s="9">
        <v>1198.0387062381021</v>
      </c>
      <c r="P21" s="4">
        <v>35.942134000000109</v>
      </c>
      <c r="Q21" s="4">
        <v>43.89828</v>
      </c>
      <c r="R21" s="4" t="s">
        <v>35</v>
      </c>
      <c r="S21" s="9">
        <v>86.440344551895549</v>
      </c>
    </row>
    <row r="22" spans="1:19" x14ac:dyDescent="0.3">
      <c r="A22" s="4" t="s">
        <v>61</v>
      </c>
      <c r="B22" s="4" t="s">
        <v>62</v>
      </c>
      <c r="C22" s="4" t="s">
        <v>38</v>
      </c>
      <c r="D22" s="4">
        <v>2833.47</v>
      </c>
      <c r="E22" s="4">
        <v>2597.33</v>
      </c>
      <c r="F22" s="4" t="s">
        <v>34</v>
      </c>
      <c r="G22" s="4">
        <v>5122.9811278130883</v>
      </c>
      <c r="H22" s="4">
        <v>2408.4494999999997</v>
      </c>
      <c r="I22" s="4">
        <v>2220.7171499999999</v>
      </c>
      <c r="J22" s="4" t="s">
        <v>34</v>
      </c>
      <c r="K22" s="9">
        <v>4208.3572024750729</v>
      </c>
      <c r="L22" s="4">
        <v>396.68579999999997</v>
      </c>
      <c r="M22" s="4">
        <v>345.44488999999999</v>
      </c>
      <c r="N22" s="4" t="s">
        <v>34</v>
      </c>
      <c r="O22" s="9">
        <v>853.07336350284936</v>
      </c>
      <c r="P22" s="4">
        <v>28.334700000000112</v>
      </c>
      <c r="Q22" s="4">
        <v>31.167959999999994</v>
      </c>
      <c r="R22" s="4" t="s">
        <v>35</v>
      </c>
      <c r="S22" s="9">
        <v>61.550561835166121</v>
      </c>
    </row>
    <row r="23" spans="1:19" x14ac:dyDescent="0.3">
      <c r="A23" s="4" t="s">
        <v>63</v>
      </c>
      <c r="B23" s="4" t="s">
        <v>54</v>
      </c>
      <c r="C23" s="4" t="s">
        <v>38</v>
      </c>
      <c r="D23" s="4">
        <v>623.36339999999996</v>
      </c>
      <c r="E23" s="4">
        <v>578.54999999999995</v>
      </c>
      <c r="F23" s="4" t="s">
        <v>34</v>
      </c>
      <c r="G23" s="4">
        <v>1127.0558481188793</v>
      </c>
      <c r="H23" s="4">
        <v>529.85888999999997</v>
      </c>
      <c r="I23" s="4">
        <v>494.66024999999996</v>
      </c>
      <c r="J23" s="4" t="s">
        <v>34</v>
      </c>
      <c r="K23" s="9">
        <v>925.83858454451604</v>
      </c>
      <c r="L23" s="4">
        <v>87.270875999999987</v>
      </c>
      <c r="M23" s="4">
        <v>76.947150000000008</v>
      </c>
      <c r="N23" s="4" t="s">
        <v>34</v>
      </c>
      <c r="O23" s="9">
        <v>187.67613997062685</v>
      </c>
      <c r="P23" s="4">
        <v>6.233633999999995</v>
      </c>
      <c r="Q23" s="4">
        <v>6.9425999999999846</v>
      </c>
      <c r="R23" s="4" t="s">
        <v>35</v>
      </c>
      <c r="S23" s="9">
        <v>13.541123603736546</v>
      </c>
    </row>
    <row r="24" spans="1:19" x14ac:dyDescent="0.3">
      <c r="A24" s="4" t="s">
        <v>64</v>
      </c>
      <c r="B24" s="4" t="s">
        <v>65</v>
      </c>
      <c r="C24" s="4" t="s">
        <v>38</v>
      </c>
      <c r="D24" s="4">
        <v>137.38</v>
      </c>
      <c r="E24" s="4">
        <v>482.31</v>
      </c>
      <c r="F24" s="4" t="s">
        <v>34</v>
      </c>
      <c r="G24" s="4">
        <v>944.5724738881197</v>
      </c>
      <c r="H24" s="4">
        <v>116.773</v>
      </c>
      <c r="I24" s="4">
        <v>412.37504999999999</v>
      </c>
      <c r="J24" s="4" t="s">
        <v>34</v>
      </c>
      <c r="K24" s="9">
        <v>775.93461201050081</v>
      </c>
      <c r="L24" s="4">
        <v>19.2332</v>
      </c>
      <c r="M24" s="4">
        <v>64.147229999999993</v>
      </c>
      <c r="N24" s="4" t="s">
        <v>34</v>
      </c>
      <c r="O24" s="9">
        <v>157.28920276462608</v>
      </c>
      <c r="P24" s="4">
        <v>1.3737999999999992</v>
      </c>
      <c r="Q24" s="4">
        <v>5.7877200000000215</v>
      </c>
      <c r="R24" s="4" t="s">
        <v>35</v>
      </c>
      <c r="S24" s="9">
        <v>11.34865911299288</v>
      </c>
    </row>
    <row r="25" spans="1:19" x14ac:dyDescent="0.3">
      <c r="A25" s="4">
        <v>2</v>
      </c>
      <c r="B25" s="4" t="s">
        <v>66</v>
      </c>
      <c r="C25" s="4" t="s">
        <v>38</v>
      </c>
      <c r="D25" s="4">
        <v>3074.9700000000003</v>
      </c>
      <c r="E25" s="4">
        <v>3542.32</v>
      </c>
      <c r="F25" s="4" t="s">
        <v>34</v>
      </c>
      <c r="G25" s="4">
        <v>3500.2750597361746</v>
      </c>
      <c r="H25" s="4">
        <v>2359.4244810000005</v>
      </c>
      <c r="I25" s="4">
        <v>3041.5508369999998</v>
      </c>
      <c r="J25" s="4" t="s">
        <v>34</v>
      </c>
      <c r="K25" s="9">
        <v>2875.3585833670154</v>
      </c>
      <c r="L25" s="4">
        <v>430.49557600000009</v>
      </c>
      <c r="M25" s="4">
        <v>473.13013020000005</v>
      </c>
      <c r="N25" s="4" t="s">
        <v>34</v>
      </c>
      <c r="O25" s="9">
        <v>582.86207657160412</v>
      </c>
      <c r="P25" s="4">
        <v>30.751283999999799</v>
      </c>
      <c r="Q25" s="4">
        <v>27.639032800000194</v>
      </c>
      <c r="R25" s="4" t="s">
        <v>35</v>
      </c>
      <c r="S25" s="9">
        <v>42.054399797555071</v>
      </c>
    </row>
    <row r="26" spans="1:19" x14ac:dyDescent="0.3">
      <c r="A26" s="4" t="s">
        <v>67</v>
      </c>
      <c r="B26" s="4" t="s">
        <v>62</v>
      </c>
      <c r="C26" s="4" t="s">
        <v>38</v>
      </c>
      <c r="D26" s="4">
        <v>1922.22</v>
      </c>
      <c r="E26" s="4">
        <v>2244.77</v>
      </c>
      <c r="F26" s="4" t="s">
        <v>34</v>
      </c>
      <c r="G26" s="4">
        <v>2402.7388212744008</v>
      </c>
      <c r="H26" s="4">
        <v>1633.8870000000002</v>
      </c>
      <c r="I26" s="4">
        <v>1919.2783499999998</v>
      </c>
      <c r="J26" s="4" t="s">
        <v>34</v>
      </c>
      <c r="K26" s="9">
        <v>1973.7693682453698</v>
      </c>
      <c r="L26" s="4">
        <v>269.11080000000004</v>
      </c>
      <c r="M26" s="4">
        <v>298.55441000000002</v>
      </c>
      <c r="N26" s="4" t="s">
        <v>34</v>
      </c>
      <c r="O26" s="9">
        <v>400.10151057464685</v>
      </c>
      <c r="P26" s="4">
        <v>19.222199999999816</v>
      </c>
      <c r="Q26" s="4">
        <v>26.937240000000145</v>
      </c>
      <c r="R26" s="4" t="s">
        <v>35</v>
      </c>
      <c r="S26" s="9">
        <v>28.867942454384131</v>
      </c>
    </row>
    <row r="27" spans="1:19" x14ac:dyDescent="0.3">
      <c r="A27" s="4" t="s">
        <v>68</v>
      </c>
      <c r="B27" s="4" t="s">
        <v>54</v>
      </c>
      <c r="C27" s="4" t="s">
        <v>38</v>
      </c>
      <c r="D27" s="4">
        <v>422.89</v>
      </c>
      <c r="E27" s="4">
        <v>478.8</v>
      </c>
      <c r="F27" s="4" t="s">
        <v>34</v>
      </c>
      <c r="G27" s="4">
        <v>528.60254068036818</v>
      </c>
      <c r="H27" s="4">
        <v>359.45514000000003</v>
      </c>
      <c r="I27" s="4">
        <v>422.24123699999996</v>
      </c>
      <c r="J27" s="4" t="s">
        <v>34</v>
      </c>
      <c r="K27" s="9">
        <v>434.22926101398139</v>
      </c>
      <c r="L27" s="4">
        <v>59.204376000000011</v>
      </c>
      <c r="M27" s="4">
        <v>65.681970200000009</v>
      </c>
      <c r="N27" s="4" t="s">
        <v>34</v>
      </c>
      <c r="O27" s="9">
        <v>88.022332326422315</v>
      </c>
      <c r="P27" s="4">
        <v>4.2304839999999473</v>
      </c>
      <c r="Q27" s="4">
        <v>9.1232071999999498</v>
      </c>
      <c r="R27" s="4" t="s">
        <v>35</v>
      </c>
      <c r="S27" s="9">
        <v>6.3509473399645096</v>
      </c>
    </row>
    <row r="28" spans="1:19" x14ac:dyDescent="0.3">
      <c r="A28" s="4" t="s">
        <v>69</v>
      </c>
      <c r="B28" s="4" t="s">
        <v>65</v>
      </c>
      <c r="C28" s="4" t="s">
        <v>38</v>
      </c>
      <c r="D28" s="4">
        <v>729.86</v>
      </c>
      <c r="E28" s="4">
        <v>818.75</v>
      </c>
      <c r="F28" s="4" t="s">
        <v>34</v>
      </c>
      <c r="G28" s="4">
        <v>568.93369778140561</v>
      </c>
      <c r="H28" s="4">
        <v>620.38099999999997</v>
      </c>
      <c r="I28" s="4">
        <v>700.03125</v>
      </c>
      <c r="J28" s="4" t="s">
        <v>34</v>
      </c>
      <c r="K28" s="9">
        <v>467.35995410766418</v>
      </c>
      <c r="L28" s="4">
        <v>102.18040000000001</v>
      </c>
      <c r="M28" s="4">
        <v>108.89375</v>
      </c>
      <c r="N28" s="4" t="s">
        <v>34</v>
      </c>
      <c r="O28" s="9">
        <v>94.738233670534981</v>
      </c>
      <c r="P28" s="4">
        <v>7.2986000000000359</v>
      </c>
      <c r="Q28" s="4">
        <v>9.8250000000000028</v>
      </c>
      <c r="R28" s="4" t="s">
        <v>35</v>
      </c>
      <c r="S28" s="9">
        <v>6.8355100032064291</v>
      </c>
    </row>
    <row r="29" spans="1:19" x14ac:dyDescent="0.3">
      <c r="A29" s="4" t="s">
        <v>70</v>
      </c>
      <c r="B29" s="4"/>
      <c r="C29" s="4" t="s">
        <v>38</v>
      </c>
      <c r="D29" s="4"/>
      <c r="E29" s="4"/>
      <c r="F29" s="4"/>
      <c r="G29" s="4">
        <v>0</v>
      </c>
      <c r="H29" s="4"/>
      <c r="I29" s="4"/>
      <c r="J29" s="4"/>
      <c r="K29" s="9"/>
      <c r="L29" s="4"/>
      <c r="M29" s="4"/>
      <c r="N29" s="4"/>
      <c r="O29" s="9"/>
      <c r="P29" s="4"/>
      <c r="Q29" s="4"/>
      <c r="R29" s="4" t="s">
        <v>35</v>
      </c>
      <c r="S29" s="9"/>
    </row>
    <row r="30" spans="1:19" x14ac:dyDescent="0.3">
      <c r="A30" s="4">
        <v>3</v>
      </c>
      <c r="B30" s="4" t="s">
        <v>71</v>
      </c>
      <c r="C30" s="4" t="s">
        <v>38</v>
      </c>
      <c r="D30" s="4">
        <v>0</v>
      </c>
      <c r="E30" s="4">
        <v>0</v>
      </c>
      <c r="F30" s="4" t="s">
        <v>34</v>
      </c>
      <c r="G30" s="4">
        <v>0</v>
      </c>
      <c r="H30" s="4">
        <v>0</v>
      </c>
      <c r="I30" s="4">
        <v>0</v>
      </c>
      <c r="J30" s="4" t="s">
        <v>34</v>
      </c>
      <c r="K30" s="9">
        <v>0</v>
      </c>
      <c r="L30" s="4">
        <v>0</v>
      </c>
      <c r="M30" s="4">
        <v>0</v>
      </c>
      <c r="N30" s="4" t="s">
        <v>34</v>
      </c>
      <c r="O30" s="9">
        <v>0</v>
      </c>
      <c r="P30" s="4">
        <v>0</v>
      </c>
      <c r="Q30" s="4">
        <v>0</v>
      </c>
      <c r="R30" s="4" t="s">
        <v>35</v>
      </c>
      <c r="S30" s="9">
        <v>0</v>
      </c>
    </row>
    <row r="31" spans="1:19" x14ac:dyDescent="0.3">
      <c r="A31" s="4" t="s">
        <v>72</v>
      </c>
      <c r="B31" s="4" t="s">
        <v>62</v>
      </c>
      <c r="C31" s="4" t="s">
        <v>38</v>
      </c>
      <c r="D31" s="4">
        <v>0</v>
      </c>
      <c r="E31" s="4">
        <v>0</v>
      </c>
      <c r="F31" s="4" t="s">
        <v>34</v>
      </c>
      <c r="G31" s="4">
        <v>0</v>
      </c>
      <c r="H31" s="4">
        <v>0</v>
      </c>
      <c r="I31" s="4">
        <v>0</v>
      </c>
      <c r="J31" s="4" t="s">
        <v>34</v>
      </c>
      <c r="K31" s="9">
        <v>0</v>
      </c>
      <c r="L31" s="4">
        <v>0</v>
      </c>
      <c r="M31" s="4">
        <v>0</v>
      </c>
      <c r="N31" s="4" t="s">
        <v>34</v>
      </c>
      <c r="O31" s="9">
        <v>0</v>
      </c>
      <c r="P31" s="4">
        <v>0</v>
      </c>
      <c r="Q31" s="4">
        <v>0</v>
      </c>
      <c r="R31" s="4" t="s">
        <v>35</v>
      </c>
      <c r="S31" s="9">
        <v>0</v>
      </c>
    </row>
    <row r="32" spans="1:19" x14ac:dyDescent="0.3">
      <c r="A32" s="4" t="s">
        <v>73</v>
      </c>
      <c r="B32" s="4" t="s">
        <v>54</v>
      </c>
      <c r="C32" s="4" t="s">
        <v>38</v>
      </c>
      <c r="D32" s="4">
        <v>0</v>
      </c>
      <c r="E32" s="4">
        <v>0</v>
      </c>
      <c r="F32" s="4" t="s">
        <v>34</v>
      </c>
      <c r="G32" s="4">
        <v>0</v>
      </c>
      <c r="H32" s="4">
        <v>0</v>
      </c>
      <c r="I32" s="4">
        <v>0</v>
      </c>
      <c r="J32" s="4" t="s">
        <v>34</v>
      </c>
      <c r="K32" s="9">
        <v>0</v>
      </c>
      <c r="L32" s="4">
        <v>0</v>
      </c>
      <c r="M32" s="4">
        <v>0</v>
      </c>
      <c r="N32" s="4" t="s">
        <v>34</v>
      </c>
      <c r="O32" s="9">
        <v>0</v>
      </c>
      <c r="P32" s="4">
        <v>0</v>
      </c>
      <c r="Q32" s="4">
        <v>0</v>
      </c>
      <c r="R32" s="4" t="s">
        <v>35</v>
      </c>
      <c r="S32" s="9">
        <v>0</v>
      </c>
    </row>
    <row r="33" spans="1:19" x14ac:dyDescent="0.3">
      <c r="A33" s="4" t="s">
        <v>74</v>
      </c>
      <c r="B33" s="4" t="s">
        <v>65</v>
      </c>
      <c r="C33" s="4" t="s">
        <v>38</v>
      </c>
      <c r="D33" s="4">
        <v>0</v>
      </c>
      <c r="E33" s="4">
        <v>0</v>
      </c>
      <c r="F33" s="4" t="s">
        <v>34</v>
      </c>
      <c r="G33" s="4">
        <v>0</v>
      </c>
      <c r="H33" s="4">
        <v>0</v>
      </c>
      <c r="I33" s="4">
        <v>0</v>
      </c>
      <c r="J33" s="4" t="s">
        <v>34</v>
      </c>
      <c r="K33" s="9">
        <v>0</v>
      </c>
      <c r="L33" s="4">
        <v>0</v>
      </c>
      <c r="M33" s="4">
        <v>0</v>
      </c>
      <c r="N33" s="4" t="s">
        <v>34</v>
      </c>
      <c r="O33" s="9">
        <v>0</v>
      </c>
      <c r="P33" s="4">
        <v>0</v>
      </c>
      <c r="Q33" s="4">
        <v>0</v>
      </c>
      <c r="R33" s="4" t="s">
        <v>35</v>
      </c>
      <c r="S33" s="9">
        <v>0</v>
      </c>
    </row>
    <row r="34" spans="1:19" x14ac:dyDescent="0.3">
      <c r="A34" s="4">
        <v>4</v>
      </c>
      <c r="B34" s="4" t="s">
        <v>75</v>
      </c>
      <c r="C34" s="4" t="s">
        <v>38</v>
      </c>
      <c r="D34" s="4"/>
      <c r="E34" s="4">
        <v>0</v>
      </c>
      <c r="F34" s="4" t="s">
        <v>34</v>
      </c>
      <c r="G34" s="4">
        <v>0</v>
      </c>
      <c r="H34" s="4"/>
      <c r="I34" s="4"/>
      <c r="J34" s="4" t="s">
        <v>34</v>
      </c>
      <c r="K34" s="9"/>
      <c r="L34" s="4">
        <v>0</v>
      </c>
      <c r="M34" s="4">
        <v>0</v>
      </c>
      <c r="N34" s="4" t="s">
        <v>34</v>
      </c>
      <c r="O34" s="9">
        <v>0</v>
      </c>
      <c r="P34" s="4"/>
      <c r="Q34" s="4"/>
      <c r="R34" s="4" t="s">
        <v>35</v>
      </c>
      <c r="S34" s="9">
        <v>0</v>
      </c>
    </row>
    <row r="35" spans="1:19" x14ac:dyDescent="0.3">
      <c r="A35" s="4">
        <v>5</v>
      </c>
      <c r="B35" s="4" t="s">
        <v>76</v>
      </c>
      <c r="C35" s="4" t="s">
        <v>38</v>
      </c>
      <c r="D35" s="4">
        <v>0</v>
      </c>
      <c r="E35" s="4"/>
      <c r="F35" s="4" t="s">
        <v>34</v>
      </c>
      <c r="G35" s="4">
        <v>0</v>
      </c>
      <c r="H35" s="4"/>
      <c r="I35" s="4"/>
      <c r="J35" s="4" t="s">
        <v>34</v>
      </c>
      <c r="K35" s="9">
        <v>0</v>
      </c>
      <c r="L35" s="4">
        <v>0</v>
      </c>
      <c r="M35" s="4">
        <v>0</v>
      </c>
      <c r="N35" s="4" t="s">
        <v>34</v>
      </c>
      <c r="O35" s="9"/>
      <c r="P35" s="4">
        <v>0</v>
      </c>
      <c r="Q35" s="4">
        <v>0</v>
      </c>
      <c r="R35" s="4" t="s">
        <v>35</v>
      </c>
      <c r="S35" s="9">
        <v>0</v>
      </c>
    </row>
    <row r="36" spans="1:19" x14ac:dyDescent="0.3">
      <c r="A36" s="4">
        <v>6</v>
      </c>
      <c r="B36" s="4" t="s">
        <v>77</v>
      </c>
      <c r="C36" s="4" t="s">
        <v>38</v>
      </c>
      <c r="D36" s="4">
        <v>64945.0334</v>
      </c>
      <c r="E36" s="4">
        <v>60617.2</v>
      </c>
      <c r="F36" s="4" t="s">
        <v>34</v>
      </c>
      <c r="G36" s="4">
        <v>90959.385840380535</v>
      </c>
      <c r="H36" s="4">
        <v>48451.296103000001</v>
      </c>
      <c r="I36" s="4">
        <v>46176.663204520002</v>
      </c>
      <c r="J36" s="4" t="s">
        <v>34</v>
      </c>
      <c r="K36" s="9">
        <v>68331.284129403386</v>
      </c>
      <c r="L36" s="4">
        <v>7516.0748520000006</v>
      </c>
      <c r="M36" s="4">
        <v>6995.5897862400006</v>
      </c>
      <c r="N36" s="4" t="s">
        <v>34</v>
      </c>
      <c r="O36" s="9">
        <v>21106.033643536244</v>
      </c>
      <c r="P36" s="4">
        <v>497.71291800000131</v>
      </c>
      <c r="Q36" s="4">
        <v>973.97620924000262</v>
      </c>
      <c r="R36" s="4" t="s">
        <v>35</v>
      </c>
      <c r="S36" s="9">
        <v>1522.8290674409091</v>
      </c>
    </row>
    <row r="37" spans="1:19" x14ac:dyDescent="0.3">
      <c r="A37" s="4">
        <v>7</v>
      </c>
      <c r="B37" s="4" t="s">
        <v>78</v>
      </c>
      <c r="C37" s="4" t="s">
        <v>38</v>
      </c>
      <c r="D37" s="4"/>
      <c r="E37" s="4">
        <v>0</v>
      </c>
      <c r="F37" s="4" t="s">
        <v>34</v>
      </c>
      <c r="G37" s="4">
        <v>0</v>
      </c>
      <c r="H37" s="4">
        <v>0</v>
      </c>
      <c r="I37" s="4"/>
      <c r="J37" s="4" t="s">
        <v>34</v>
      </c>
      <c r="K37" s="9">
        <v>0</v>
      </c>
      <c r="L37" s="4">
        <v>0</v>
      </c>
      <c r="M37" s="4">
        <v>0</v>
      </c>
      <c r="N37" s="4" t="s">
        <v>34</v>
      </c>
      <c r="O37" s="9">
        <v>0</v>
      </c>
      <c r="P37" s="4">
        <v>19.89</v>
      </c>
      <c r="Q37" s="4">
        <v>20.149999999999999</v>
      </c>
      <c r="R37" s="4" t="s">
        <v>35</v>
      </c>
      <c r="S37" s="9">
        <v>0</v>
      </c>
    </row>
    <row r="38" spans="1:19" x14ac:dyDescent="0.3">
      <c r="A38" s="4" t="s">
        <v>79</v>
      </c>
      <c r="B38" s="4" t="s">
        <v>80</v>
      </c>
      <c r="C38" s="4" t="s">
        <v>38</v>
      </c>
      <c r="D38" s="4">
        <v>0</v>
      </c>
      <c r="E38" s="4">
        <v>0</v>
      </c>
      <c r="F38" s="4" t="s">
        <v>34</v>
      </c>
      <c r="G38" s="4">
        <v>0</v>
      </c>
      <c r="H38" s="4">
        <v>0</v>
      </c>
      <c r="I38" s="4">
        <v>0</v>
      </c>
      <c r="J38" s="4" t="s">
        <v>34</v>
      </c>
      <c r="K38" s="9">
        <v>0</v>
      </c>
      <c r="L38" s="4">
        <v>0</v>
      </c>
      <c r="M38" s="4">
        <v>0</v>
      </c>
      <c r="N38" s="4" t="s">
        <v>34</v>
      </c>
      <c r="O38" s="9">
        <v>0</v>
      </c>
      <c r="P38" s="4" t="s">
        <v>34</v>
      </c>
      <c r="Q38" s="4" t="s">
        <v>34</v>
      </c>
      <c r="R38" s="4" t="s">
        <v>35</v>
      </c>
      <c r="S38" s="9">
        <v>0</v>
      </c>
    </row>
    <row r="39" spans="1:19" x14ac:dyDescent="0.3">
      <c r="A39" s="4" t="s">
        <v>81</v>
      </c>
      <c r="B39" s="4" t="s">
        <v>82</v>
      </c>
      <c r="C39" s="4" t="s">
        <v>38</v>
      </c>
      <c r="D39" s="4">
        <v>0</v>
      </c>
      <c r="E39" s="4">
        <v>0</v>
      </c>
      <c r="F39" s="4" t="s">
        <v>34</v>
      </c>
      <c r="G39" s="4">
        <v>0</v>
      </c>
      <c r="H39" s="4">
        <v>0</v>
      </c>
      <c r="I39" s="4">
        <v>0</v>
      </c>
      <c r="J39" s="4" t="s">
        <v>34</v>
      </c>
      <c r="K39" s="9">
        <v>0</v>
      </c>
      <c r="L39" s="4">
        <v>0</v>
      </c>
      <c r="M39" s="4">
        <v>0</v>
      </c>
      <c r="N39" s="4" t="s">
        <v>34</v>
      </c>
      <c r="O39" s="9">
        <v>0</v>
      </c>
      <c r="P39" s="4" t="s">
        <v>34</v>
      </c>
      <c r="Q39" s="4" t="s">
        <v>34</v>
      </c>
      <c r="R39" s="4" t="s">
        <v>35</v>
      </c>
      <c r="S39" s="9">
        <v>0</v>
      </c>
    </row>
    <row r="40" spans="1:19" x14ac:dyDescent="0.3">
      <c r="A40" s="4" t="s">
        <v>83</v>
      </c>
      <c r="B40" s="4" t="s">
        <v>84</v>
      </c>
      <c r="C40" s="4" t="s">
        <v>38</v>
      </c>
      <c r="D40" s="4">
        <v>0</v>
      </c>
      <c r="E40" s="4">
        <v>0</v>
      </c>
      <c r="F40" s="4" t="s">
        <v>34</v>
      </c>
      <c r="G40" s="4"/>
      <c r="H40" s="4">
        <v>0</v>
      </c>
      <c r="I40" s="4">
        <v>0</v>
      </c>
      <c r="J40" s="4" t="s">
        <v>34</v>
      </c>
      <c r="K40" s="9"/>
      <c r="L40" s="4">
        <v>0</v>
      </c>
      <c r="M40" s="4">
        <v>0</v>
      </c>
      <c r="N40" s="4" t="s">
        <v>34</v>
      </c>
      <c r="O40" s="9">
        <v>0</v>
      </c>
      <c r="P40" s="4" t="s">
        <v>34</v>
      </c>
      <c r="Q40" s="4" t="s">
        <v>34</v>
      </c>
      <c r="R40" s="4" t="s">
        <v>35</v>
      </c>
      <c r="S40" s="9">
        <v>0</v>
      </c>
    </row>
    <row r="41" spans="1:19" x14ac:dyDescent="0.3">
      <c r="A41" s="4" t="s">
        <v>85</v>
      </c>
      <c r="B41" s="4" t="s">
        <v>86</v>
      </c>
      <c r="C41" s="4" t="s">
        <v>38</v>
      </c>
      <c r="D41" s="4"/>
      <c r="E41" s="4">
        <v>0</v>
      </c>
      <c r="F41" s="4" t="s">
        <v>34</v>
      </c>
      <c r="G41" s="4"/>
      <c r="H41" s="4"/>
      <c r="I41" s="4"/>
      <c r="J41" s="4" t="s">
        <v>34</v>
      </c>
      <c r="K41" s="9">
        <v>0</v>
      </c>
      <c r="L41" s="4"/>
      <c r="M41" s="4"/>
      <c r="N41" s="4" t="s">
        <v>34</v>
      </c>
      <c r="O41" s="9">
        <v>0</v>
      </c>
      <c r="P41" s="4"/>
      <c r="Q41" s="4"/>
      <c r="R41" s="4" t="s">
        <v>35</v>
      </c>
      <c r="S41" s="9">
        <v>0</v>
      </c>
    </row>
    <row r="42" spans="1:19" ht="28.8" x14ac:dyDescent="0.3">
      <c r="A42" s="4" t="s">
        <v>87</v>
      </c>
      <c r="B42" s="6" t="s">
        <v>88</v>
      </c>
      <c r="C42" s="4" t="s">
        <v>38</v>
      </c>
      <c r="D42" s="4">
        <v>0</v>
      </c>
      <c r="E42" s="4">
        <v>0</v>
      </c>
      <c r="F42" s="4" t="s">
        <v>34</v>
      </c>
      <c r="G42" s="4"/>
      <c r="H42" s="4">
        <v>0</v>
      </c>
      <c r="I42" s="4">
        <v>0</v>
      </c>
      <c r="J42" s="4" t="s">
        <v>34</v>
      </c>
      <c r="K42" s="9">
        <v>0</v>
      </c>
      <c r="L42" s="4">
        <v>0</v>
      </c>
      <c r="M42" s="4">
        <v>0</v>
      </c>
      <c r="N42" s="4" t="s">
        <v>34</v>
      </c>
      <c r="O42" s="9">
        <v>0</v>
      </c>
      <c r="P42" s="4" t="s">
        <v>34</v>
      </c>
      <c r="Q42" s="4" t="s">
        <v>34</v>
      </c>
      <c r="R42" s="4" t="s">
        <v>35</v>
      </c>
      <c r="S42" s="9">
        <v>0</v>
      </c>
    </row>
    <row r="43" spans="1:19" ht="28.8" x14ac:dyDescent="0.3">
      <c r="A43" s="4">
        <v>8</v>
      </c>
      <c r="B43" s="5" t="s">
        <v>89</v>
      </c>
      <c r="C43" s="4" t="s">
        <v>38</v>
      </c>
      <c r="D43" s="4" t="s">
        <v>34</v>
      </c>
      <c r="E43" s="4" t="s">
        <v>34</v>
      </c>
      <c r="F43" s="4" t="s">
        <v>34</v>
      </c>
      <c r="G43" s="4">
        <v>90959.385840380535</v>
      </c>
      <c r="H43" s="4" t="s">
        <v>34</v>
      </c>
      <c r="I43" s="4" t="s">
        <v>34</v>
      </c>
      <c r="J43" s="4" t="s">
        <v>34</v>
      </c>
      <c r="K43" s="9">
        <v>68331.284129403386</v>
      </c>
      <c r="L43" s="4" t="s">
        <v>34</v>
      </c>
      <c r="M43" s="4" t="s">
        <v>34</v>
      </c>
      <c r="N43" s="4" t="s">
        <v>34</v>
      </c>
      <c r="O43" s="9">
        <v>21106.033643536244</v>
      </c>
      <c r="P43" s="4" t="s">
        <v>34</v>
      </c>
      <c r="Q43" s="4" t="s">
        <v>34</v>
      </c>
      <c r="R43" s="4" t="s">
        <v>35</v>
      </c>
      <c r="S43" s="9">
        <v>1522.8290674409091</v>
      </c>
    </row>
    <row r="44" spans="1:19" x14ac:dyDescent="0.3">
      <c r="A44" s="4">
        <v>9</v>
      </c>
      <c r="B44" s="4" t="s">
        <v>90</v>
      </c>
      <c r="C44" s="4" t="s">
        <v>91</v>
      </c>
      <c r="D44" s="4"/>
      <c r="E44" s="4">
        <v>0</v>
      </c>
      <c r="F44" s="4" t="s">
        <v>34</v>
      </c>
      <c r="G44" s="4">
        <v>2162.8630765706207</v>
      </c>
      <c r="H44" s="4" t="s">
        <v>34</v>
      </c>
      <c r="I44" s="4" t="s">
        <v>34</v>
      </c>
      <c r="J44" s="4" t="s">
        <v>34</v>
      </c>
      <c r="K44" s="9">
        <v>1977.9223703766863</v>
      </c>
      <c r="L44" s="4" t="s">
        <v>34</v>
      </c>
      <c r="M44" s="4" t="s">
        <v>34</v>
      </c>
      <c r="N44" s="4" t="s">
        <v>34</v>
      </c>
      <c r="O44" s="9">
        <v>3013.8560107862695</v>
      </c>
      <c r="P44" s="4" t="s">
        <v>34</v>
      </c>
      <c r="Q44" s="4" t="s">
        <v>34</v>
      </c>
      <c r="R44" s="4" t="s">
        <v>35</v>
      </c>
      <c r="S44" s="9">
        <v>3013.8483217533858</v>
      </c>
    </row>
    <row r="45" spans="1:19" x14ac:dyDescent="0.3">
      <c r="A45" s="4">
        <v>10</v>
      </c>
      <c r="B45" s="4" t="s">
        <v>92</v>
      </c>
      <c r="C45" s="4" t="s">
        <v>93</v>
      </c>
      <c r="D45" s="4">
        <v>37923.9</v>
      </c>
      <c r="E45" s="4">
        <v>40934</v>
      </c>
      <c r="F45" s="4" t="s">
        <v>34</v>
      </c>
      <c r="G45" s="4">
        <v>42055.277275053762</v>
      </c>
      <c r="H45" s="4">
        <v>32422</v>
      </c>
      <c r="I45" s="4">
        <v>33371</v>
      </c>
      <c r="J45" s="4" t="s">
        <v>34</v>
      </c>
      <c r="K45" s="9">
        <v>34547</v>
      </c>
      <c r="L45" s="4">
        <v>5056</v>
      </c>
      <c r="M45" s="4">
        <v>7003</v>
      </c>
      <c r="N45" s="4" t="s">
        <v>34</v>
      </c>
      <c r="O45" s="9">
        <v>7003</v>
      </c>
      <c r="P45" s="4">
        <v>446</v>
      </c>
      <c r="Q45" s="4">
        <v>560</v>
      </c>
      <c r="R45" s="4" t="s">
        <v>35</v>
      </c>
      <c r="S45" s="9">
        <v>505.27727505376345</v>
      </c>
    </row>
    <row r="46" spans="1:19" x14ac:dyDescent="0.3">
      <c r="A46" s="4">
        <v>11</v>
      </c>
      <c r="B46" s="4" t="s">
        <v>94</v>
      </c>
      <c r="C46" s="4" t="s">
        <v>93</v>
      </c>
      <c r="D46" s="4">
        <v>43449</v>
      </c>
      <c r="E46" s="4">
        <v>46321</v>
      </c>
      <c r="F46" s="4" t="s">
        <v>34</v>
      </c>
      <c r="G46" s="4">
        <v>49376.493375104954</v>
      </c>
      <c r="H46" s="4">
        <v>53895</v>
      </c>
      <c r="I46" s="4">
        <v>47031</v>
      </c>
      <c r="J46" s="4" t="s">
        <v>34</v>
      </c>
      <c r="K46" s="9">
        <v>40561.199999999997</v>
      </c>
      <c r="L46" s="4">
        <v>9104</v>
      </c>
      <c r="M46" s="4">
        <v>7106</v>
      </c>
      <c r="N46" s="4" t="s">
        <v>34</v>
      </c>
      <c r="O46" s="9">
        <v>8221.94</v>
      </c>
      <c r="P46" s="4">
        <v>611</v>
      </c>
      <c r="Q46" s="4">
        <v>505</v>
      </c>
      <c r="R46" s="4" t="s">
        <v>35</v>
      </c>
      <c r="S46" s="9">
        <v>592.86</v>
      </c>
    </row>
    <row r="47" spans="1:19" ht="28.8" x14ac:dyDescent="0.3">
      <c r="A47" s="4">
        <v>12</v>
      </c>
      <c r="B47" s="5" t="s">
        <v>95</v>
      </c>
      <c r="C47" s="4" t="s">
        <v>96</v>
      </c>
      <c r="D47" s="4">
        <v>5525.0999999999985</v>
      </c>
      <c r="E47" s="4">
        <v>5387</v>
      </c>
      <c r="F47" s="4" t="s">
        <v>34</v>
      </c>
      <c r="G47" s="4">
        <v>8408.7328000000016</v>
      </c>
      <c r="H47" s="4">
        <v>8964</v>
      </c>
      <c r="I47" s="4">
        <v>7836</v>
      </c>
      <c r="J47" s="4" t="s">
        <v>34</v>
      </c>
      <c r="K47" s="9">
        <v>6907.5723600000001</v>
      </c>
      <c r="L47" s="4">
        <v>1516</v>
      </c>
      <c r="M47" s="4">
        <v>1184</v>
      </c>
      <c r="N47" s="4" t="s">
        <v>34</v>
      </c>
      <c r="O47" s="9">
        <v>1400.1963820000003</v>
      </c>
      <c r="P47" s="4">
        <v>101</v>
      </c>
      <c r="Q47" s="4">
        <v>84</v>
      </c>
      <c r="R47" s="4" t="s">
        <v>35</v>
      </c>
      <c r="S47" s="9">
        <v>100.96405800000001</v>
      </c>
    </row>
    <row r="48" spans="1:19" ht="28.8" x14ac:dyDescent="0.3">
      <c r="A48" s="4">
        <v>13</v>
      </c>
      <c r="B48" s="5" t="s">
        <v>97</v>
      </c>
      <c r="C48" s="4" t="s">
        <v>98</v>
      </c>
      <c r="D48" s="4">
        <v>170.3</v>
      </c>
      <c r="E48" s="4">
        <v>170.3</v>
      </c>
      <c r="F48" s="4" t="s">
        <v>34</v>
      </c>
      <c r="G48" s="4">
        <v>170.29829834452329</v>
      </c>
      <c r="H48" s="4">
        <v>166.32340662399108</v>
      </c>
      <c r="I48" s="4">
        <v>166.61351023792818</v>
      </c>
      <c r="J48" s="4" t="s">
        <v>34</v>
      </c>
      <c r="K48" s="9">
        <v>170.3</v>
      </c>
      <c r="L48" s="4">
        <v>166.52021089630929</v>
      </c>
      <c r="M48" s="4">
        <v>166.61975795102728</v>
      </c>
      <c r="N48" s="4" t="s">
        <v>34</v>
      </c>
      <c r="O48" s="9">
        <v>170.30000000000004</v>
      </c>
      <c r="P48" s="4">
        <v>165.30278232405894</v>
      </c>
      <c r="Q48" s="4">
        <v>166.33663366336634</v>
      </c>
      <c r="R48" s="4" t="s">
        <v>35</v>
      </c>
      <c r="S48" s="9">
        <v>170.3</v>
      </c>
    </row>
    <row r="49" spans="1:19" x14ac:dyDescent="0.3">
      <c r="A49" s="4">
        <v>14</v>
      </c>
      <c r="B49" s="4" t="s">
        <v>99</v>
      </c>
      <c r="C49" s="4" t="s">
        <v>100</v>
      </c>
      <c r="D49" s="4">
        <v>3959</v>
      </c>
      <c r="E49" s="4">
        <v>0</v>
      </c>
      <c r="F49" s="4" t="s">
        <v>34</v>
      </c>
      <c r="G49" s="4">
        <v>8124.7300179551512</v>
      </c>
      <c r="H49" s="4">
        <v>1603.8021170879242</v>
      </c>
      <c r="I49" s="4">
        <v>3584.2759935855761</v>
      </c>
      <c r="J49" s="4" t="s">
        <v>34</v>
      </c>
      <c r="K49" s="9">
        <v>7225.0955890243895</v>
      </c>
      <c r="L49" s="4">
        <v>6259</v>
      </c>
      <c r="M49" s="4">
        <v>6114</v>
      </c>
      <c r="N49" s="4" t="s">
        <v>34</v>
      </c>
      <c r="O49" s="9">
        <v>12264.387412195121</v>
      </c>
      <c r="P49" s="4">
        <v>6418</v>
      </c>
      <c r="Q49" s="4">
        <v>6540</v>
      </c>
      <c r="R49" s="4" t="s">
        <v>35</v>
      </c>
      <c r="S49" s="9">
        <v>7439.0282902829022</v>
      </c>
    </row>
    <row r="50" spans="1:19" ht="28.8" x14ac:dyDescent="0.3">
      <c r="A50" s="4">
        <v>15</v>
      </c>
      <c r="B50" s="5" t="s">
        <v>101</v>
      </c>
      <c r="C50" s="4" t="s">
        <v>178</v>
      </c>
      <c r="D50" s="4">
        <v>7848</v>
      </c>
      <c r="E50" s="4">
        <v>7848</v>
      </c>
      <c r="F50" s="4" t="s">
        <v>34</v>
      </c>
      <c r="G50" s="4">
        <v>7248.9429467317077</v>
      </c>
      <c r="H50" s="4">
        <v>7728</v>
      </c>
      <c r="I50" s="4">
        <v>6755</v>
      </c>
      <c r="J50" s="4" t="s">
        <v>34</v>
      </c>
      <c r="K50" s="9">
        <v>5954.832806443902</v>
      </c>
      <c r="L50" s="4">
        <v>1307</v>
      </c>
      <c r="M50" s="4">
        <v>1021</v>
      </c>
      <c r="N50" s="4" t="s">
        <v>34</v>
      </c>
      <c r="O50" s="9">
        <v>1207.0717346778051</v>
      </c>
      <c r="P50" s="4">
        <v>87</v>
      </c>
      <c r="Q50" s="4">
        <v>72</v>
      </c>
      <c r="R50" s="4" t="s">
        <v>35</v>
      </c>
      <c r="S50" s="9">
        <v>87.038405609999998</v>
      </c>
    </row>
    <row r="51" spans="1:19" ht="28.8" x14ac:dyDescent="0.3">
      <c r="A51" s="4">
        <v>16</v>
      </c>
      <c r="B51" s="5" t="s">
        <v>102</v>
      </c>
      <c r="C51" s="4" t="s">
        <v>96</v>
      </c>
      <c r="D51" s="4">
        <v>0</v>
      </c>
      <c r="E51" s="4">
        <v>0</v>
      </c>
      <c r="F51" s="4" t="s">
        <v>34</v>
      </c>
      <c r="G51" s="4">
        <v>0</v>
      </c>
      <c r="H51" s="4">
        <v>0</v>
      </c>
      <c r="I51" s="4">
        <v>0</v>
      </c>
      <c r="J51" s="4" t="s">
        <v>34</v>
      </c>
      <c r="K51" s="9">
        <v>0</v>
      </c>
      <c r="L51" s="4">
        <v>0</v>
      </c>
      <c r="M51" s="4">
        <v>0</v>
      </c>
      <c r="N51" s="4" t="s">
        <v>34</v>
      </c>
      <c r="O51" s="9">
        <v>0</v>
      </c>
      <c r="P51" s="4">
        <v>0</v>
      </c>
      <c r="Q51" s="4">
        <v>0</v>
      </c>
      <c r="R51" s="4" t="s">
        <v>35</v>
      </c>
      <c r="S51" s="9">
        <v>0</v>
      </c>
    </row>
    <row r="52" spans="1:19" ht="28.8" x14ac:dyDescent="0.3">
      <c r="A52" s="4">
        <v>17</v>
      </c>
      <c r="B52" s="5" t="s">
        <v>103</v>
      </c>
      <c r="C52" s="4" t="s">
        <v>96</v>
      </c>
      <c r="D52" s="4">
        <v>0</v>
      </c>
      <c r="E52" s="4">
        <v>0</v>
      </c>
      <c r="F52" s="4" t="s">
        <v>34</v>
      </c>
      <c r="G52" s="4">
        <v>0</v>
      </c>
      <c r="H52" s="4">
        <v>0</v>
      </c>
      <c r="I52" s="4">
        <v>0</v>
      </c>
      <c r="J52" s="4" t="s">
        <v>34</v>
      </c>
      <c r="K52" s="9">
        <v>0</v>
      </c>
      <c r="L52" s="4">
        <v>0</v>
      </c>
      <c r="M52" s="4">
        <v>0</v>
      </c>
      <c r="N52" s="4" t="s">
        <v>34</v>
      </c>
      <c r="O52" s="9">
        <v>0</v>
      </c>
      <c r="P52" s="4">
        <v>0</v>
      </c>
      <c r="Q52" s="4">
        <v>0</v>
      </c>
      <c r="R52" s="4" t="s">
        <v>35</v>
      </c>
      <c r="S52" s="9">
        <v>0</v>
      </c>
    </row>
    <row r="53" spans="1:19" x14ac:dyDescent="0.3">
      <c r="A53" s="4">
        <v>18</v>
      </c>
      <c r="B53" s="11" t="s">
        <v>104</v>
      </c>
      <c r="C53" s="4" t="s">
        <v>105</v>
      </c>
      <c r="D53" s="4">
        <v>0</v>
      </c>
      <c r="E53" s="4">
        <v>0</v>
      </c>
      <c r="F53" s="4" t="s">
        <v>34</v>
      </c>
      <c r="G53" s="4">
        <v>0</v>
      </c>
      <c r="H53" s="4">
        <v>0</v>
      </c>
      <c r="I53" s="4">
        <v>0</v>
      </c>
      <c r="J53" s="4" t="s">
        <v>34</v>
      </c>
      <c r="K53" s="9">
        <v>0</v>
      </c>
      <c r="L53" s="4">
        <v>0</v>
      </c>
      <c r="M53" s="4">
        <v>0</v>
      </c>
      <c r="N53" s="4" t="s">
        <v>34</v>
      </c>
      <c r="O53" s="9">
        <v>0</v>
      </c>
      <c r="P53" s="4">
        <v>0</v>
      </c>
      <c r="Q53" s="4">
        <v>0</v>
      </c>
      <c r="R53" s="4" t="s">
        <v>35</v>
      </c>
      <c r="S53" s="9">
        <v>0</v>
      </c>
    </row>
    <row r="54" spans="1:19" x14ac:dyDescent="0.3">
      <c r="A54" s="4">
        <v>19</v>
      </c>
      <c r="B54" s="4" t="s">
        <v>106</v>
      </c>
      <c r="C54" s="4" t="s">
        <v>179</v>
      </c>
      <c r="D54" s="4">
        <v>5056.4984709480123</v>
      </c>
      <c r="E54" s="4">
        <v>4835.3338430173289</v>
      </c>
      <c r="F54" s="4" t="s">
        <v>34</v>
      </c>
      <c r="G54" s="4">
        <v>9424.6408469701873</v>
      </c>
      <c r="H54" s="4">
        <v>1856</v>
      </c>
      <c r="I54" s="4">
        <v>4135</v>
      </c>
      <c r="J54" s="4" t="s">
        <v>34</v>
      </c>
      <c r="K54" s="9">
        <v>8381.07</v>
      </c>
      <c r="L54" s="4">
        <v>7257</v>
      </c>
      <c r="M54" s="4">
        <v>7124</v>
      </c>
      <c r="N54" s="4" t="s">
        <v>34</v>
      </c>
      <c r="O54" s="9">
        <v>14226.62</v>
      </c>
      <c r="P54" s="4">
        <v>7151</v>
      </c>
      <c r="Q54" s="4">
        <v>7209</v>
      </c>
      <c r="R54" s="4" t="s">
        <v>35</v>
      </c>
      <c r="S54" s="9">
        <v>8639.9</v>
      </c>
    </row>
    <row r="55" spans="1:19" x14ac:dyDescent="0.3">
      <c r="A55" s="4">
        <v>20</v>
      </c>
      <c r="B55" s="4" t="s">
        <v>107</v>
      </c>
      <c r="C55" s="4" t="s">
        <v>108</v>
      </c>
      <c r="D55" s="4">
        <v>0</v>
      </c>
      <c r="E55" s="4">
        <v>0</v>
      </c>
      <c r="F55" s="4" t="s">
        <v>34</v>
      </c>
      <c r="G55" s="4">
        <v>0</v>
      </c>
      <c r="H55" s="4">
        <v>0</v>
      </c>
      <c r="I55" s="4">
        <v>0</v>
      </c>
      <c r="J55" s="4" t="s">
        <v>34</v>
      </c>
      <c r="K55" s="9">
        <v>0</v>
      </c>
      <c r="L55" s="4">
        <v>0</v>
      </c>
      <c r="M55" s="4">
        <v>0</v>
      </c>
      <c r="N55" s="4" t="s">
        <v>34</v>
      </c>
      <c r="O55" s="9">
        <v>0</v>
      </c>
      <c r="P55" s="4">
        <v>0</v>
      </c>
      <c r="Q55" s="4">
        <v>0</v>
      </c>
      <c r="R55" s="4" t="s">
        <v>35</v>
      </c>
      <c r="S55" s="9">
        <v>0</v>
      </c>
    </row>
    <row r="56" spans="1:19" x14ac:dyDescent="0.3">
      <c r="A56" s="4">
        <v>21</v>
      </c>
      <c r="B56" s="4" t="s">
        <v>109</v>
      </c>
      <c r="C56" s="4" t="s">
        <v>110</v>
      </c>
      <c r="D56" s="4">
        <v>0</v>
      </c>
      <c r="E56" s="4">
        <v>0</v>
      </c>
      <c r="F56" s="4" t="s">
        <v>34</v>
      </c>
      <c r="G56" s="4">
        <v>0</v>
      </c>
      <c r="H56" s="4">
        <v>0</v>
      </c>
      <c r="I56" s="4">
        <v>0</v>
      </c>
      <c r="J56" s="4" t="s">
        <v>34</v>
      </c>
      <c r="K56" s="9">
        <v>0</v>
      </c>
      <c r="L56" s="4">
        <v>0</v>
      </c>
      <c r="M56" s="4">
        <v>0</v>
      </c>
      <c r="N56" s="4" t="s">
        <v>34</v>
      </c>
      <c r="O56" s="9">
        <v>0</v>
      </c>
      <c r="P56" s="4">
        <v>0</v>
      </c>
      <c r="Q56" s="4">
        <v>0</v>
      </c>
      <c r="R56" s="4" t="s">
        <v>35</v>
      </c>
      <c r="S56" s="9">
        <v>0</v>
      </c>
    </row>
    <row r="57" spans="1:19" x14ac:dyDescent="0.3">
      <c r="A57" s="4">
        <v>22</v>
      </c>
      <c r="B57" s="4" t="s">
        <v>111</v>
      </c>
      <c r="C57" s="4" t="s">
        <v>112</v>
      </c>
      <c r="D57" s="4">
        <v>0</v>
      </c>
      <c r="E57" s="4">
        <v>0</v>
      </c>
      <c r="F57" s="4" t="s">
        <v>34</v>
      </c>
      <c r="G57" s="4">
        <v>0</v>
      </c>
      <c r="H57" s="4">
        <v>0</v>
      </c>
      <c r="I57" s="4">
        <v>0</v>
      </c>
      <c r="J57" s="4" t="s">
        <v>34</v>
      </c>
      <c r="K57" s="9">
        <v>0</v>
      </c>
      <c r="L57" s="4">
        <v>0</v>
      </c>
      <c r="M57" s="4">
        <v>0</v>
      </c>
      <c r="N57" s="4" t="s">
        <v>34</v>
      </c>
      <c r="O57" s="9">
        <v>0</v>
      </c>
      <c r="P57" s="4">
        <v>0</v>
      </c>
      <c r="Q57" s="4">
        <v>0</v>
      </c>
      <c r="R57" s="4" t="s">
        <v>35</v>
      </c>
      <c r="S57" s="9">
        <v>0</v>
      </c>
    </row>
    <row r="58" spans="1:19" x14ac:dyDescent="0.3">
      <c r="A58" s="4">
        <v>23</v>
      </c>
      <c r="B58" s="4" t="s">
        <v>113</v>
      </c>
      <c r="C58" s="4" t="s">
        <v>180</v>
      </c>
      <c r="D58" s="4">
        <v>8200</v>
      </c>
      <c r="E58" s="4">
        <v>8200</v>
      </c>
      <c r="F58" s="4"/>
      <c r="G58" s="4">
        <v>8200</v>
      </c>
      <c r="H58" s="4">
        <v>8200</v>
      </c>
      <c r="I58" s="4">
        <v>8200</v>
      </c>
      <c r="J58" s="4" t="s">
        <v>34</v>
      </c>
      <c r="K58" s="9">
        <v>8200</v>
      </c>
      <c r="L58" s="4">
        <v>8200</v>
      </c>
      <c r="M58" s="4">
        <v>8200</v>
      </c>
      <c r="N58" s="4" t="s">
        <v>34</v>
      </c>
      <c r="O58" s="9">
        <v>8200</v>
      </c>
      <c r="P58" s="4">
        <v>8200</v>
      </c>
      <c r="Q58" s="4">
        <v>8200</v>
      </c>
      <c r="R58" s="4" t="s">
        <v>35</v>
      </c>
      <c r="S58" s="9">
        <v>8200</v>
      </c>
    </row>
    <row r="59" spans="1:19" x14ac:dyDescent="0.3">
      <c r="A59" s="4">
        <v>24</v>
      </c>
      <c r="B59" s="4" t="s">
        <v>114</v>
      </c>
      <c r="C59" s="4" t="s">
        <v>115</v>
      </c>
      <c r="D59" s="4">
        <v>0</v>
      </c>
      <c r="E59" s="4">
        <v>0</v>
      </c>
      <c r="F59" s="4" t="s">
        <v>34</v>
      </c>
      <c r="G59" s="4">
        <v>0</v>
      </c>
      <c r="H59" s="4">
        <v>0</v>
      </c>
      <c r="I59" s="4">
        <v>0</v>
      </c>
      <c r="J59" s="4" t="s">
        <v>34</v>
      </c>
      <c r="K59" s="9">
        <v>0</v>
      </c>
      <c r="L59" s="4">
        <v>0</v>
      </c>
      <c r="M59" s="4">
        <v>0</v>
      </c>
      <c r="N59" s="4" t="s">
        <v>34</v>
      </c>
      <c r="O59" s="9">
        <v>0</v>
      </c>
      <c r="P59" s="4">
        <v>0</v>
      </c>
      <c r="Q59" s="4">
        <v>0</v>
      </c>
      <c r="R59" s="4" t="s">
        <v>35</v>
      </c>
      <c r="S59" s="9">
        <v>0</v>
      </c>
    </row>
    <row r="60" spans="1:19" x14ac:dyDescent="0.3">
      <c r="A60" s="4">
        <v>25</v>
      </c>
      <c r="B60" s="4" t="s">
        <v>116</v>
      </c>
      <c r="C60" s="4" t="s">
        <v>115</v>
      </c>
      <c r="D60" s="4">
        <v>0</v>
      </c>
      <c r="E60" s="4"/>
      <c r="F60" s="4" t="s">
        <v>34</v>
      </c>
      <c r="G60" s="4">
        <v>0</v>
      </c>
      <c r="H60" s="4">
        <v>0</v>
      </c>
      <c r="I60" s="4">
        <v>0</v>
      </c>
      <c r="J60" s="4" t="s">
        <v>34</v>
      </c>
      <c r="K60" s="9">
        <v>0</v>
      </c>
      <c r="L60" s="4">
        <v>0</v>
      </c>
      <c r="M60" s="4">
        <v>0</v>
      </c>
      <c r="N60" s="4" t="s">
        <v>34</v>
      </c>
      <c r="O60" s="9">
        <v>0</v>
      </c>
      <c r="P60" s="4">
        <v>0</v>
      </c>
      <c r="Q60" s="4">
        <v>0</v>
      </c>
      <c r="R60" s="4" t="s">
        <v>35</v>
      </c>
      <c r="S60" s="9">
        <v>0</v>
      </c>
    </row>
    <row r="61" spans="1:19" x14ac:dyDescent="0.3">
      <c r="A61" s="4">
        <v>26</v>
      </c>
      <c r="B61" s="4" t="s">
        <v>117</v>
      </c>
      <c r="C61" s="4" t="s">
        <v>118</v>
      </c>
      <c r="D61" s="4">
        <v>0</v>
      </c>
      <c r="E61" s="4">
        <v>0</v>
      </c>
      <c r="F61" s="4" t="s">
        <v>34</v>
      </c>
      <c r="G61" s="4">
        <v>0</v>
      </c>
      <c r="H61" s="4">
        <v>0</v>
      </c>
      <c r="I61" s="4">
        <v>0</v>
      </c>
      <c r="J61" s="4" t="s">
        <v>34</v>
      </c>
      <c r="K61" s="9">
        <v>0</v>
      </c>
      <c r="L61" s="4">
        <v>0</v>
      </c>
      <c r="M61" s="4">
        <v>0</v>
      </c>
      <c r="N61" s="4" t="s">
        <v>34</v>
      </c>
      <c r="O61" s="9">
        <v>0</v>
      </c>
      <c r="P61" s="4">
        <v>0</v>
      </c>
      <c r="Q61" s="4">
        <v>0</v>
      </c>
      <c r="R61" s="4" t="s">
        <v>35</v>
      </c>
      <c r="S61" s="9">
        <v>0</v>
      </c>
    </row>
    <row r="62" spans="1:19" x14ac:dyDescent="0.3">
      <c r="A62" s="4">
        <v>26</v>
      </c>
      <c r="B62" s="4" t="s">
        <v>119</v>
      </c>
      <c r="C62" s="4" t="s">
        <v>93</v>
      </c>
      <c r="D62" s="4">
        <v>0</v>
      </c>
      <c r="E62" s="4">
        <v>0</v>
      </c>
      <c r="F62" s="4" t="s">
        <v>34</v>
      </c>
      <c r="G62" s="4">
        <v>0</v>
      </c>
      <c r="H62" s="4">
        <v>0</v>
      </c>
      <c r="I62" s="4">
        <v>0</v>
      </c>
      <c r="J62" s="4" t="s">
        <v>34</v>
      </c>
      <c r="K62" s="9">
        <v>0</v>
      </c>
      <c r="L62" s="4">
        <v>0</v>
      </c>
      <c r="M62" s="4">
        <v>0</v>
      </c>
      <c r="N62" s="4" t="s">
        <v>34</v>
      </c>
      <c r="O62" s="9">
        <v>0</v>
      </c>
      <c r="P62" s="4">
        <v>0</v>
      </c>
      <c r="Q62" s="4">
        <v>0</v>
      </c>
      <c r="R62" s="4" t="s">
        <v>35</v>
      </c>
      <c r="S62" s="9">
        <v>0</v>
      </c>
    </row>
    <row r="63" spans="1:19" x14ac:dyDescent="0.3">
      <c r="A63" s="4">
        <v>28</v>
      </c>
      <c r="B63" s="5" t="s">
        <v>120</v>
      </c>
      <c r="C63" s="4" t="s">
        <v>121</v>
      </c>
      <c r="D63" s="4"/>
      <c r="E63" s="4"/>
      <c r="F63" s="4" t="s">
        <v>34</v>
      </c>
      <c r="G63" s="4">
        <v>0</v>
      </c>
      <c r="H63" s="4" t="s">
        <v>122</v>
      </c>
      <c r="I63" s="4" t="s">
        <v>122</v>
      </c>
      <c r="J63" s="4" t="s">
        <v>34</v>
      </c>
      <c r="K63" s="9">
        <v>0</v>
      </c>
      <c r="L63" s="4" t="s">
        <v>122</v>
      </c>
      <c r="M63" s="4" t="s">
        <v>122</v>
      </c>
      <c r="N63" s="4" t="s">
        <v>34</v>
      </c>
      <c r="O63" s="9">
        <v>0</v>
      </c>
      <c r="P63" s="4" t="s">
        <v>122</v>
      </c>
      <c r="Q63" s="4" t="s">
        <v>122</v>
      </c>
      <c r="R63" s="4" t="s">
        <v>35</v>
      </c>
      <c r="S63" s="9">
        <v>0</v>
      </c>
    </row>
    <row r="64" spans="1:19" ht="28.8" x14ac:dyDescent="0.3">
      <c r="A64" s="4">
        <v>29</v>
      </c>
      <c r="B64" s="5" t="s">
        <v>123</v>
      </c>
      <c r="C64" s="4" t="s">
        <v>93</v>
      </c>
      <c r="D64" s="4">
        <v>0</v>
      </c>
      <c r="E64" s="4">
        <v>0</v>
      </c>
      <c r="F64" s="4" t="s">
        <v>34</v>
      </c>
      <c r="G64" s="4">
        <v>0</v>
      </c>
      <c r="H64" s="4">
        <v>0</v>
      </c>
      <c r="I64" s="4">
        <v>0</v>
      </c>
      <c r="J64" s="4" t="s">
        <v>34</v>
      </c>
      <c r="K64" s="9">
        <v>0</v>
      </c>
      <c r="L64" s="4">
        <v>0</v>
      </c>
      <c r="M64" s="4">
        <v>0</v>
      </c>
      <c r="N64" s="4" t="s">
        <v>34</v>
      </c>
      <c r="O64" s="9">
        <v>0</v>
      </c>
      <c r="P64" s="4">
        <v>0</v>
      </c>
      <c r="Q64" s="4">
        <v>0</v>
      </c>
      <c r="R64" s="4" t="s">
        <v>35</v>
      </c>
      <c r="S64" s="9">
        <v>0</v>
      </c>
    </row>
    <row r="65" spans="1:19" ht="28.8" x14ac:dyDescent="0.3">
      <c r="A65" s="4">
        <v>30</v>
      </c>
      <c r="B65" s="5" t="s">
        <v>124</v>
      </c>
      <c r="C65" s="4" t="s">
        <v>121</v>
      </c>
      <c r="D65" s="4">
        <v>0</v>
      </c>
      <c r="E65" s="4">
        <v>0</v>
      </c>
      <c r="F65" s="4" t="s">
        <v>34</v>
      </c>
      <c r="G65" s="4">
        <v>0</v>
      </c>
      <c r="H65" s="4">
        <v>0</v>
      </c>
      <c r="I65" s="4">
        <v>0</v>
      </c>
      <c r="J65" s="4" t="s">
        <v>34</v>
      </c>
      <c r="K65" s="9">
        <v>0</v>
      </c>
      <c r="L65" s="4">
        <v>0</v>
      </c>
      <c r="M65" s="4">
        <v>0</v>
      </c>
      <c r="N65" s="4" t="s">
        <v>34</v>
      </c>
      <c r="O65" s="9">
        <v>0</v>
      </c>
      <c r="P65" s="4">
        <v>0</v>
      </c>
      <c r="Q65" s="4">
        <v>0</v>
      </c>
      <c r="R65" s="4" t="s">
        <v>35</v>
      </c>
      <c r="S65" s="9">
        <v>0</v>
      </c>
    </row>
    <row r="66" spans="1:19" ht="28.8" x14ac:dyDescent="0.3">
      <c r="A66" s="4">
        <v>31</v>
      </c>
      <c r="B66" s="5" t="s">
        <v>125</v>
      </c>
      <c r="C66" s="4" t="s">
        <v>181</v>
      </c>
      <c r="D66" s="4">
        <v>34.270000000000003</v>
      </c>
      <c r="E66" s="4">
        <v>0</v>
      </c>
      <c r="F66" s="4" t="s">
        <v>34</v>
      </c>
      <c r="G66" s="4">
        <v>33.307260552228399</v>
      </c>
      <c r="H66" s="4">
        <v>37.4</v>
      </c>
      <c r="I66" s="4">
        <v>34.299999999999997</v>
      </c>
      <c r="J66" s="4" t="s">
        <v>34</v>
      </c>
      <c r="K66" s="9">
        <v>33.307260552228399</v>
      </c>
      <c r="L66" s="4">
        <v>37.4</v>
      </c>
      <c r="M66" s="4">
        <v>34.299999999999997</v>
      </c>
      <c r="N66" s="4" t="s">
        <v>34</v>
      </c>
      <c r="O66" s="9">
        <v>33.307260552228399</v>
      </c>
      <c r="P66" s="4">
        <v>37.4</v>
      </c>
      <c r="Q66" s="4">
        <v>34.299999999999997</v>
      </c>
      <c r="R66" s="4" t="s">
        <v>35</v>
      </c>
      <c r="S66" s="9">
        <v>26.466003256593797</v>
      </c>
    </row>
    <row r="67" spans="1:19" x14ac:dyDescent="0.3">
      <c r="A67" s="4">
        <v>32</v>
      </c>
      <c r="B67" s="5" t="s">
        <v>126</v>
      </c>
      <c r="C67" s="4" t="s">
        <v>127</v>
      </c>
      <c r="D67" s="4">
        <v>1.75</v>
      </c>
      <c r="E67" s="4">
        <v>0</v>
      </c>
      <c r="F67" s="4" t="s">
        <v>34</v>
      </c>
      <c r="G67" s="4">
        <v>2.8685100000000001</v>
      </c>
      <c r="H67" s="4"/>
      <c r="I67" s="4"/>
      <c r="J67" s="4" t="s">
        <v>34</v>
      </c>
      <c r="K67" s="9">
        <v>2.8685100000000001</v>
      </c>
      <c r="L67" s="4">
        <v>1.41</v>
      </c>
      <c r="M67" s="4">
        <v>1.75</v>
      </c>
      <c r="N67" s="4" t="s">
        <v>34</v>
      </c>
      <c r="O67" s="9">
        <v>2.8685100000000001</v>
      </c>
      <c r="P67" s="4">
        <v>1.41</v>
      </c>
      <c r="Q67" s="4">
        <v>1.75</v>
      </c>
      <c r="R67" s="4" t="s">
        <v>35</v>
      </c>
      <c r="S67" s="9">
        <v>2.8685100000000001</v>
      </c>
    </row>
    <row r="68" spans="1:19" x14ac:dyDescent="0.3">
      <c r="A68" s="4">
        <v>33</v>
      </c>
      <c r="B68" s="4" t="s">
        <v>128</v>
      </c>
      <c r="C68" s="4" t="s">
        <v>129</v>
      </c>
      <c r="D68" s="4">
        <v>74.650000000000006</v>
      </c>
      <c r="E68" s="4"/>
      <c r="F68" s="4" t="s">
        <v>34</v>
      </c>
      <c r="G68" s="4">
        <v>72.44</v>
      </c>
      <c r="H68" s="4" t="s">
        <v>130</v>
      </c>
      <c r="I68" s="4" t="s">
        <v>130</v>
      </c>
      <c r="J68" s="4" t="s">
        <v>130</v>
      </c>
      <c r="K68" s="9" t="s">
        <v>130</v>
      </c>
      <c r="L68" s="4" t="s">
        <v>130</v>
      </c>
      <c r="M68" s="4" t="s">
        <v>130</v>
      </c>
      <c r="N68" s="4" t="s">
        <v>130</v>
      </c>
      <c r="O68" s="9" t="s">
        <v>130</v>
      </c>
      <c r="P68" s="4" t="s">
        <v>130</v>
      </c>
      <c r="Q68" s="4" t="s">
        <v>130</v>
      </c>
      <c r="R68" s="4" t="s">
        <v>130</v>
      </c>
      <c r="S68" s="9" t="s">
        <v>130</v>
      </c>
    </row>
    <row r="70" spans="1:19" x14ac:dyDescent="0.3">
      <c r="A70" s="77" t="s">
        <v>131</v>
      </c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</row>
    <row r="71" spans="1:19" ht="18" x14ac:dyDescent="0.35">
      <c r="A71" s="2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x14ac:dyDescent="0.35">
      <c r="A72" s="2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x14ac:dyDescent="0.35">
      <c r="A73" s="2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x14ac:dyDescent="0.35">
      <c r="A74" s="2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78"/>
      <c r="O74" s="78"/>
      <c r="P74" s="78"/>
      <c r="Q74" s="1"/>
      <c r="R74" s="1"/>
      <c r="S74" s="1"/>
    </row>
    <row r="75" spans="1:19" ht="18" x14ac:dyDescent="0.35">
      <c r="A75" s="2"/>
      <c r="B75" s="2"/>
      <c r="C75" s="1"/>
      <c r="D75" s="2"/>
      <c r="E75" s="1"/>
      <c r="F75" s="2"/>
      <c r="G75" s="1"/>
      <c r="H75" s="1"/>
      <c r="I75" s="1"/>
      <c r="J75" s="1"/>
      <c r="K75" s="1"/>
      <c r="L75" s="1"/>
      <c r="M75" s="1"/>
      <c r="N75" s="77"/>
      <c r="O75" s="77"/>
      <c r="P75" s="77"/>
      <c r="Q75" s="1"/>
      <c r="R75" s="1"/>
      <c r="S75" s="1"/>
    </row>
  </sheetData>
  <mergeCells count="10">
    <mergeCell ref="N1:S1"/>
    <mergeCell ref="A70:S70"/>
    <mergeCell ref="N74:P74"/>
    <mergeCell ref="N75:P75"/>
    <mergeCell ref="N2:S2"/>
    <mergeCell ref="A4:S4"/>
    <mergeCell ref="D6:G6"/>
    <mergeCell ref="H6:K6"/>
    <mergeCell ref="L6:O6"/>
    <mergeCell ref="P6:S6"/>
  </mergeCells>
  <pageMargins left="0.7" right="0.7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9"/>
  <sheetViews>
    <sheetView topLeftCell="A34" workbookViewId="0">
      <selection sqref="A1:G59"/>
    </sheetView>
  </sheetViews>
  <sheetFormatPr defaultRowHeight="14.4" x14ac:dyDescent="0.3"/>
  <cols>
    <col min="2" max="2" width="68.33203125" customWidth="1"/>
    <col min="4" max="4" width="18.5546875" customWidth="1"/>
    <col min="5" max="5" width="17.33203125" customWidth="1"/>
    <col min="6" max="6" width="15.109375" customWidth="1"/>
    <col min="7" max="7" width="20.44140625" customWidth="1"/>
  </cols>
  <sheetData>
    <row r="1" spans="1:11" x14ac:dyDescent="0.3">
      <c r="D1" t="s">
        <v>183</v>
      </c>
    </row>
    <row r="2" spans="1:11" x14ac:dyDescent="0.3">
      <c r="D2" t="s">
        <v>184</v>
      </c>
    </row>
    <row r="4" spans="1:11" ht="39" customHeight="1" x14ac:dyDescent="0.35">
      <c r="A4" s="80" t="s">
        <v>185</v>
      </c>
      <c r="B4" s="80"/>
      <c r="C4" s="80"/>
      <c r="D4" s="80"/>
      <c r="E4" s="80"/>
      <c r="F4" s="80"/>
      <c r="G4" s="80"/>
    </row>
    <row r="5" spans="1:11" x14ac:dyDescent="0.3">
      <c r="G5" t="s">
        <v>186</v>
      </c>
    </row>
    <row r="6" spans="1:11" ht="39" customHeight="1" x14ac:dyDescent="0.3">
      <c r="A6" s="7" t="s">
        <v>187</v>
      </c>
      <c r="B6" s="7" t="s">
        <v>188</v>
      </c>
      <c r="C6" s="8" t="s">
        <v>189</v>
      </c>
      <c r="D6" s="84" t="s">
        <v>190</v>
      </c>
      <c r="E6" s="84"/>
      <c r="F6" s="84"/>
      <c r="G6" s="84"/>
    </row>
    <row r="7" spans="1:11" ht="72" customHeight="1" x14ac:dyDescent="0.3">
      <c r="A7" s="7"/>
      <c r="B7" s="7"/>
      <c r="C7" s="7"/>
      <c r="D7" s="8" t="s">
        <v>191</v>
      </c>
      <c r="E7" s="8" t="s">
        <v>192</v>
      </c>
      <c r="F7" s="8" t="s">
        <v>193</v>
      </c>
      <c r="G7" s="8" t="s">
        <v>194</v>
      </c>
      <c r="H7" s="3"/>
      <c r="I7" s="3"/>
      <c r="J7" s="3"/>
      <c r="K7" s="3"/>
    </row>
    <row r="8" spans="1:11" x14ac:dyDescent="0.3">
      <c r="A8" s="7" t="s">
        <v>195</v>
      </c>
      <c r="B8" s="7" t="s">
        <v>196</v>
      </c>
      <c r="C8" s="7" t="s">
        <v>15</v>
      </c>
      <c r="D8" s="7" t="s">
        <v>16</v>
      </c>
      <c r="E8" s="7" t="s">
        <v>17</v>
      </c>
      <c r="F8" s="7" t="s">
        <v>18</v>
      </c>
      <c r="G8" s="7">
        <v>6</v>
      </c>
    </row>
    <row r="9" spans="1:11" x14ac:dyDescent="0.3">
      <c r="A9" s="4" t="s">
        <v>195</v>
      </c>
      <c r="B9" s="4" t="s">
        <v>197</v>
      </c>
      <c r="C9" s="4" t="s">
        <v>33</v>
      </c>
      <c r="D9" s="4">
        <v>2998.4148</v>
      </c>
      <c r="E9" s="4">
        <v>5730.36</v>
      </c>
      <c r="F9" s="4">
        <v>0</v>
      </c>
      <c r="G9" s="4">
        <v>8032.4302041992487</v>
      </c>
    </row>
    <row r="10" spans="1:11" x14ac:dyDescent="0.3">
      <c r="A10" s="4" t="s">
        <v>198</v>
      </c>
      <c r="B10" s="4" t="s">
        <v>199</v>
      </c>
      <c r="C10" s="4" t="s">
        <v>33</v>
      </c>
      <c r="D10" s="4">
        <v>1131.5999999999999</v>
      </c>
      <c r="E10" s="4">
        <v>3472.49</v>
      </c>
      <c r="F10" s="4">
        <v>0</v>
      </c>
      <c r="G10" s="4">
        <v>2924.5032635597868</v>
      </c>
    </row>
    <row r="11" spans="1:11" x14ac:dyDescent="0.3">
      <c r="A11" s="4" t="s">
        <v>200</v>
      </c>
      <c r="B11" s="4" t="s">
        <v>201</v>
      </c>
      <c r="C11" s="4" t="s">
        <v>33</v>
      </c>
      <c r="D11" s="4">
        <v>958.6</v>
      </c>
      <c r="E11" s="4">
        <v>2806.56</v>
      </c>
      <c r="F11" s="4">
        <v>0</v>
      </c>
      <c r="G11" s="4">
        <v>2760.0804685597868</v>
      </c>
    </row>
    <row r="12" spans="1:11" x14ac:dyDescent="0.3">
      <c r="A12" s="4" t="s">
        <v>202</v>
      </c>
      <c r="B12" s="4" t="s">
        <v>203</v>
      </c>
      <c r="C12" s="4" t="s">
        <v>33</v>
      </c>
      <c r="D12" s="4">
        <v>0</v>
      </c>
      <c r="E12" s="4">
        <v>0</v>
      </c>
      <c r="F12" s="4">
        <v>0</v>
      </c>
      <c r="G12" s="4">
        <v>0</v>
      </c>
    </row>
    <row r="13" spans="1:11" x14ac:dyDescent="0.3">
      <c r="A13" s="4" t="s">
        <v>204</v>
      </c>
      <c r="B13" s="4" t="s">
        <v>205</v>
      </c>
      <c r="C13" s="4" t="s">
        <v>33</v>
      </c>
      <c r="D13" s="4">
        <v>112</v>
      </c>
      <c r="E13" s="4">
        <v>112</v>
      </c>
      <c r="F13" s="4">
        <v>0</v>
      </c>
      <c r="G13" s="4">
        <v>112.302795</v>
      </c>
    </row>
    <row r="14" spans="1:11" x14ac:dyDescent="0.3">
      <c r="A14" s="4" t="s">
        <v>206</v>
      </c>
      <c r="B14" s="4" t="s">
        <v>207</v>
      </c>
      <c r="C14" s="4" t="s">
        <v>33</v>
      </c>
      <c r="D14" s="4">
        <v>61</v>
      </c>
      <c r="E14" s="4">
        <v>553.92999999999995</v>
      </c>
      <c r="F14" s="4">
        <v>0</v>
      </c>
      <c r="G14" s="4">
        <v>52.12</v>
      </c>
    </row>
    <row r="15" spans="1:11" x14ac:dyDescent="0.3">
      <c r="A15" s="4" t="s">
        <v>208</v>
      </c>
      <c r="B15" s="4" t="s">
        <v>209</v>
      </c>
      <c r="C15" s="4" t="s">
        <v>33</v>
      </c>
      <c r="D15" s="4">
        <v>378</v>
      </c>
      <c r="E15" s="4">
        <v>96.45</v>
      </c>
      <c r="F15" s="4">
        <v>0</v>
      </c>
      <c r="G15" s="4">
        <v>511.48399999999998</v>
      </c>
    </row>
    <row r="16" spans="1:11" x14ac:dyDescent="0.3">
      <c r="A16" s="4" t="s">
        <v>210</v>
      </c>
      <c r="B16" s="4" t="s">
        <v>211</v>
      </c>
      <c r="C16" s="4" t="s">
        <v>33</v>
      </c>
      <c r="D16" s="4">
        <v>1294</v>
      </c>
      <c r="E16" s="4">
        <v>1643.41</v>
      </c>
      <c r="F16" s="4">
        <v>0</v>
      </c>
      <c r="G16" s="4">
        <v>1964.0260800000001</v>
      </c>
    </row>
    <row r="17" spans="1:7" x14ac:dyDescent="0.3">
      <c r="A17" s="4" t="s">
        <v>212</v>
      </c>
      <c r="B17" s="4" t="s">
        <v>213</v>
      </c>
      <c r="C17" s="4" t="s">
        <v>33</v>
      </c>
      <c r="D17" s="4">
        <v>92</v>
      </c>
      <c r="E17" s="4">
        <v>26.41</v>
      </c>
      <c r="F17" s="4">
        <v>0</v>
      </c>
      <c r="G17" s="4">
        <v>112.52647999999999</v>
      </c>
    </row>
    <row r="18" spans="1:7" x14ac:dyDescent="0.3">
      <c r="A18" s="4" t="s">
        <v>214</v>
      </c>
      <c r="B18" s="4" t="s">
        <v>215</v>
      </c>
      <c r="C18" s="4" t="s">
        <v>33</v>
      </c>
      <c r="D18" s="4">
        <v>845</v>
      </c>
      <c r="E18" s="4">
        <v>1356</v>
      </c>
      <c r="F18" s="4">
        <v>0</v>
      </c>
      <c r="G18" s="4">
        <v>1781.886</v>
      </c>
    </row>
    <row r="19" spans="1:7" x14ac:dyDescent="0.3">
      <c r="A19" s="4" t="s">
        <v>216</v>
      </c>
      <c r="B19" s="4" t="s">
        <v>217</v>
      </c>
      <c r="C19" s="4" t="s">
        <v>33</v>
      </c>
      <c r="D19" s="4">
        <v>357</v>
      </c>
      <c r="E19" s="4">
        <v>261</v>
      </c>
      <c r="F19" s="4">
        <v>0</v>
      </c>
      <c r="G19" s="4">
        <v>69.613599999999991</v>
      </c>
    </row>
    <row r="20" spans="1:7" x14ac:dyDescent="0.3">
      <c r="A20" s="4" t="s">
        <v>218</v>
      </c>
      <c r="B20" s="4" t="s">
        <v>219</v>
      </c>
      <c r="C20" s="4" t="s">
        <v>33</v>
      </c>
      <c r="D20" s="4">
        <v>194.81480000000002</v>
      </c>
      <c r="E20" s="4">
        <v>518.01</v>
      </c>
      <c r="F20" s="4">
        <v>0</v>
      </c>
      <c r="G20" s="4">
        <v>2632.4168606394619</v>
      </c>
    </row>
    <row r="21" spans="1:7" x14ac:dyDescent="0.3">
      <c r="A21" s="4" t="s">
        <v>220</v>
      </c>
      <c r="B21" s="4" t="s">
        <v>221</v>
      </c>
      <c r="C21" s="4" t="s">
        <v>33</v>
      </c>
      <c r="D21" s="4">
        <v>152.34</v>
      </c>
      <c r="E21" s="4">
        <v>367.79</v>
      </c>
      <c r="F21" s="4">
        <v>0</v>
      </c>
      <c r="G21" s="4">
        <v>1874.4494249552934</v>
      </c>
    </row>
    <row r="22" spans="1:7" x14ac:dyDescent="0.3">
      <c r="A22" s="4" t="s">
        <v>222</v>
      </c>
      <c r="B22" s="4" t="s">
        <v>213</v>
      </c>
      <c r="C22" s="4" t="s">
        <v>33</v>
      </c>
      <c r="D22" s="4">
        <v>33.514800000000001</v>
      </c>
      <c r="E22" s="4">
        <v>81.93</v>
      </c>
      <c r="F22" s="4">
        <v>0</v>
      </c>
      <c r="G22" s="4">
        <v>412.37887349016455</v>
      </c>
    </row>
    <row r="23" spans="1:7" x14ac:dyDescent="0.3">
      <c r="A23" s="4" t="s">
        <v>223</v>
      </c>
      <c r="B23" s="4" t="s">
        <v>224</v>
      </c>
      <c r="C23" s="4" t="s">
        <v>33</v>
      </c>
      <c r="D23" s="4">
        <v>8.9600000000000009</v>
      </c>
      <c r="E23" s="4">
        <v>68.290000000000006</v>
      </c>
      <c r="F23" s="4">
        <v>0</v>
      </c>
      <c r="G23" s="4">
        <v>345.588562194004</v>
      </c>
    </row>
    <row r="24" spans="1:7" x14ac:dyDescent="0.3">
      <c r="A24" s="4" t="s">
        <v>196</v>
      </c>
      <c r="B24" s="4" t="s">
        <v>225</v>
      </c>
      <c r="C24" s="4" t="s">
        <v>33</v>
      </c>
      <c r="D24" s="4">
        <v>165.23</v>
      </c>
      <c r="E24" s="4">
        <v>501.61</v>
      </c>
      <c r="F24" s="4">
        <v>0</v>
      </c>
      <c r="G24" s="4">
        <v>1273.9068503693518</v>
      </c>
    </row>
    <row r="25" spans="1:7" x14ac:dyDescent="0.3">
      <c r="A25" s="4" t="s">
        <v>226</v>
      </c>
      <c r="B25" s="4" t="s">
        <v>221</v>
      </c>
      <c r="C25" s="4" t="s">
        <v>33</v>
      </c>
      <c r="D25" s="4">
        <v>103.27</v>
      </c>
      <c r="E25" s="4">
        <v>317.87</v>
      </c>
      <c r="F25" s="4">
        <v>0</v>
      </c>
      <c r="G25" s="4">
        <v>879.13823441684406</v>
      </c>
    </row>
    <row r="26" spans="1:7" x14ac:dyDescent="0.3">
      <c r="A26" s="4" t="s">
        <v>227</v>
      </c>
      <c r="B26" s="4" t="s">
        <v>213</v>
      </c>
      <c r="C26" s="4" t="s">
        <v>33</v>
      </c>
      <c r="D26" s="4">
        <v>22.72</v>
      </c>
      <c r="E26" s="4">
        <v>67.8</v>
      </c>
      <c r="F26" s="4">
        <v>0</v>
      </c>
      <c r="G26" s="4">
        <v>193.41041157170568</v>
      </c>
    </row>
    <row r="27" spans="1:7" x14ac:dyDescent="0.3">
      <c r="A27" s="4" t="s">
        <v>228</v>
      </c>
      <c r="B27" s="4" t="s">
        <v>224</v>
      </c>
      <c r="C27" s="4" t="s">
        <v>33</v>
      </c>
      <c r="D27" s="4">
        <v>39.24</v>
      </c>
      <c r="E27" s="4">
        <v>115.94</v>
      </c>
      <c r="F27" s="4">
        <v>0</v>
      </c>
      <c r="G27" s="4">
        <v>201.35820438080205</v>
      </c>
    </row>
    <row r="28" spans="1:7" x14ac:dyDescent="0.3">
      <c r="A28" s="4" t="s">
        <v>15</v>
      </c>
      <c r="B28" s="4" t="s">
        <v>229</v>
      </c>
      <c r="C28" s="4" t="s">
        <v>33</v>
      </c>
      <c r="D28" s="4">
        <v>0</v>
      </c>
      <c r="E28" s="4">
        <v>0</v>
      </c>
      <c r="F28" s="4">
        <v>0</v>
      </c>
      <c r="G28" s="4">
        <v>0</v>
      </c>
    </row>
    <row r="29" spans="1:7" x14ac:dyDescent="0.3">
      <c r="A29" s="4" t="s">
        <v>230</v>
      </c>
      <c r="B29" s="4" t="s">
        <v>221</v>
      </c>
      <c r="C29" s="4" t="s">
        <v>33</v>
      </c>
      <c r="D29" s="4">
        <v>0</v>
      </c>
      <c r="E29" s="4">
        <v>0</v>
      </c>
      <c r="F29" s="4">
        <v>0</v>
      </c>
      <c r="G29" s="4">
        <v>0</v>
      </c>
    </row>
    <row r="30" spans="1:7" x14ac:dyDescent="0.3">
      <c r="A30" s="4" t="s">
        <v>231</v>
      </c>
      <c r="B30" s="4" t="s">
        <v>213</v>
      </c>
      <c r="C30" s="4" t="s">
        <v>33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3">
      <c r="A31" s="4" t="s">
        <v>232</v>
      </c>
      <c r="B31" s="4" t="s">
        <v>233</v>
      </c>
      <c r="C31" s="4" t="s">
        <v>33</v>
      </c>
      <c r="D31" s="4">
        <v>0</v>
      </c>
      <c r="E31" s="4">
        <v>0</v>
      </c>
      <c r="F31" s="4">
        <v>0</v>
      </c>
      <c r="G31" s="4">
        <v>0</v>
      </c>
    </row>
    <row r="32" spans="1:7" x14ac:dyDescent="0.3">
      <c r="A32" s="4" t="s">
        <v>16</v>
      </c>
      <c r="B32" s="4" t="s">
        <v>234</v>
      </c>
      <c r="C32" s="4" t="s">
        <v>33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3">
      <c r="A33" s="4" t="s">
        <v>17</v>
      </c>
      <c r="B33" s="4" t="s">
        <v>235</v>
      </c>
      <c r="C33" s="4" t="s">
        <v>33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3">
      <c r="A34" s="4" t="s">
        <v>18</v>
      </c>
      <c r="B34" s="4" t="s">
        <v>236</v>
      </c>
      <c r="C34" s="4" t="s">
        <v>33</v>
      </c>
      <c r="D34" s="4">
        <v>3163.6448</v>
      </c>
      <c r="E34" s="4">
        <v>6231.9699999999993</v>
      </c>
      <c r="F34" s="4">
        <v>0</v>
      </c>
      <c r="G34" s="4">
        <v>9306.3370545686012</v>
      </c>
    </row>
    <row r="35" spans="1:7" x14ac:dyDescent="0.3">
      <c r="A35" s="4" t="s">
        <v>19</v>
      </c>
      <c r="B35" s="4" t="s">
        <v>237</v>
      </c>
      <c r="C35" s="4" t="s">
        <v>33</v>
      </c>
      <c r="D35" s="4">
        <v>0</v>
      </c>
      <c r="E35" s="4">
        <v>0</v>
      </c>
      <c r="F35" s="4">
        <v>0</v>
      </c>
      <c r="G35" s="4">
        <v>0</v>
      </c>
    </row>
    <row r="36" spans="1:7" x14ac:dyDescent="0.3">
      <c r="A36" s="4" t="s">
        <v>238</v>
      </c>
      <c r="B36" s="4" t="s">
        <v>239</v>
      </c>
      <c r="C36" s="4" t="s">
        <v>240</v>
      </c>
      <c r="D36" s="4"/>
      <c r="E36" s="4" t="s">
        <v>34</v>
      </c>
      <c r="F36" s="4">
        <v>0</v>
      </c>
      <c r="G36" s="4">
        <v>0</v>
      </c>
    </row>
    <row r="37" spans="1:7" x14ac:dyDescent="0.3">
      <c r="A37" s="4" t="s">
        <v>241</v>
      </c>
      <c r="B37" s="4" t="s">
        <v>242</v>
      </c>
      <c r="C37" s="4" t="s">
        <v>33</v>
      </c>
      <c r="D37" s="4"/>
      <c r="E37" s="4" t="s">
        <v>34</v>
      </c>
      <c r="F37" s="4">
        <v>0</v>
      </c>
      <c r="G37" s="4">
        <v>0</v>
      </c>
    </row>
    <row r="38" spans="1:7" x14ac:dyDescent="0.3">
      <c r="A38" s="4" t="s">
        <v>243</v>
      </c>
      <c r="B38" s="4" t="s">
        <v>244</v>
      </c>
      <c r="C38" s="4" t="s">
        <v>33</v>
      </c>
      <c r="D38" s="4"/>
      <c r="E38" s="4" t="s">
        <v>34</v>
      </c>
      <c r="F38" s="4">
        <v>0</v>
      </c>
      <c r="G38" s="4">
        <v>0</v>
      </c>
    </row>
    <row r="39" spans="1:7" x14ac:dyDescent="0.3">
      <c r="A39" s="4" t="s">
        <v>245</v>
      </c>
      <c r="B39" s="4" t="s">
        <v>246</v>
      </c>
      <c r="C39" s="4" t="s">
        <v>33</v>
      </c>
      <c r="D39" s="4"/>
      <c r="E39" s="4" t="s">
        <v>34</v>
      </c>
      <c r="F39" s="4">
        <v>0</v>
      </c>
      <c r="G39" s="4"/>
    </row>
    <row r="40" spans="1:7" x14ac:dyDescent="0.3">
      <c r="A40" s="4" t="s">
        <v>247</v>
      </c>
      <c r="B40" s="4" t="s">
        <v>248</v>
      </c>
      <c r="C40" s="4" t="s">
        <v>33</v>
      </c>
      <c r="D40" s="4"/>
      <c r="E40" s="4" t="s">
        <v>34</v>
      </c>
      <c r="F40" s="4">
        <v>0</v>
      </c>
      <c r="G40" s="4"/>
    </row>
    <row r="41" spans="1:7" x14ac:dyDescent="0.3">
      <c r="A41" s="4" t="s">
        <v>20</v>
      </c>
      <c r="B41" s="4" t="s">
        <v>249</v>
      </c>
      <c r="C41" s="4" t="s">
        <v>33</v>
      </c>
      <c r="D41" s="4">
        <v>1547</v>
      </c>
      <c r="E41" s="4">
        <v>6231.9699999999993</v>
      </c>
      <c r="F41" s="4">
        <v>0</v>
      </c>
      <c r="G41" s="4">
        <v>9306.3370545686012</v>
      </c>
    </row>
    <row r="42" spans="1:7" x14ac:dyDescent="0.3">
      <c r="A42" s="4" t="s">
        <v>250</v>
      </c>
      <c r="B42" s="4" t="s">
        <v>251</v>
      </c>
      <c r="C42" s="4" t="s">
        <v>121</v>
      </c>
      <c r="D42" s="4">
        <v>27.34</v>
      </c>
      <c r="E42" s="4">
        <v>152.24434455464893</v>
      </c>
      <c r="F42" s="4">
        <v>0</v>
      </c>
      <c r="G42" s="4">
        <v>221.28821060202378</v>
      </c>
    </row>
    <row r="43" spans="1:7" x14ac:dyDescent="0.3">
      <c r="A43" s="4" t="s">
        <v>22</v>
      </c>
      <c r="B43" s="4" t="s">
        <v>252</v>
      </c>
      <c r="C43" s="4" t="s">
        <v>93</v>
      </c>
      <c r="D43" s="4">
        <v>59623</v>
      </c>
      <c r="E43" s="4">
        <v>0</v>
      </c>
      <c r="F43" s="4">
        <v>0</v>
      </c>
      <c r="G43" s="4">
        <v>49376.493375104954</v>
      </c>
    </row>
    <row r="44" spans="1:7" x14ac:dyDescent="0.3">
      <c r="A44" s="4" t="s">
        <v>253</v>
      </c>
      <c r="B44" s="4" t="s">
        <v>254</v>
      </c>
      <c r="C44" s="4" t="s">
        <v>93</v>
      </c>
      <c r="D44" s="4">
        <v>59623</v>
      </c>
      <c r="E44" s="4"/>
      <c r="F44" s="4">
        <v>0</v>
      </c>
      <c r="G44" s="4">
        <v>49376.493375104954</v>
      </c>
    </row>
    <row r="45" spans="1:7" x14ac:dyDescent="0.3">
      <c r="A45" s="4" t="s">
        <v>255</v>
      </c>
      <c r="B45" s="4" t="s">
        <v>256</v>
      </c>
      <c r="C45" s="4" t="s">
        <v>93</v>
      </c>
      <c r="D45" s="4">
        <v>0</v>
      </c>
      <c r="E45" s="4">
        <v>0</v>
      </c>
      <c r="F45" s="4">
        <v>0</v>
      </c>
      <c r="G45" s="4">
        <v>0</v>
      </c>
    </row>
    <row r="46" spans="1:7" x14ac:dyDescent="0.3">
      <c r="A46" s="4" t="s">
        <v>257</v>
      </c>
      <c r="B46" s="4" t="s">
        <v>258</v>
      </c>
      <c r="C46" s="4" t="s">
        <v>93</v>
      </c>
      <c r="D46" s="4">
        <v>6872</v>
      </c>
      <c r="E46" s="4">
        <v>0</v>
      </c>
      <c r="F46" s="4">
        <v>0</v>
      </c>
      <c r="G46" s="4">
        <v>6396</v>
      </c>
    </row>
    <row r="47" spans="1:7" x14ac:dyDescent="0.3">
      <c r="A47" s="4" t="s">
        <v>259</v>
      </c>
      <c r="B47" s="4" t="s">
        <v>254</v>
      </c>
      <c r="C47" s="4" t="s">
        <v>93</v>
      </c>
      <c r="D47" s="4">
        <v>6872</v>
      </c>
      <c r="E47" s="4">
        <v>0</v>
      </c>
      <c r="F47" s="4">
        <v>0</v>
      </c>
      <c r="G47" s="4">
        <v>6396</v>
      </c>
    </row>
    <row r="48" spans="1:7" x14ac:dyDescent="0.3">
      <c r="A48" s="4" t="s">
        <v>260</v>
      </c>
      <c r="B48" s="4" t="s">
        <v>261</v>
      </c>
      <c r="C48" s="4" t="s">
        <v>93</v>
      </c>
      <c r="D48" s="4">
        <v>0</v>
      </c>
      <c r="E48" s="4">
        <v>0</v>
      </c>
      <c r="F48" s="4">
        <v>0</v>
      </c>
      <c r="G48" s="4">
        <v>0</v>
      </c>
    </row>
    <row r="49" spans="1:7" x14ac:dyDescent="0.3">
      <c r="A49" s="4" t="s">
        <v>24</v>
      </c>
      <c r="B49" s="4" t="s">
        <v>262</v>
      </c>
      <c r="C49" s="4" t="s">
        <v>93</v>
      </c>
      <c r="D49" s="4">
        <v>52751</v>
      </c>
      <c r="E49" s="4"/>
      <c r="F49" s="4">
        <v>0</v>
      </c>
      <c r="G49" s="4">
        <v>42980.493375104954</v>
      </c>
    </row>
    <row r="50" spans="1:7" x14ac:dyDescent="0.3">
      <c r="A50" s="4" t="s">
        <v>263</v>
      </c>
      <c r="B50" s="4" t="s">
        <v>264</v>
      </c>
      <c r="C50" s="4" t="s">
        <v>93</v>
      </c>
      <c r="D50" s="4">
        <v>1242</v>
      </c>
      <c r="E50" s="4">
        <v>0</v>
      </c>
      <c r="F50" s="4">
        <v>0</v>
      </c>
      <c r="G50" s="4">
        <v>925.21610005118282</v>
      </c>
    </row>
    <row r="51" spans="1:7" x14ac:dyDescent="0.3">
      <c r="A51" s="4" t="s">
        <v>265</v>
      </c>
      <c r="B51" s="4" t="s">
        <v>266</v>
      </c>
      <c r="C51" s="4" t="s">
        <v>93</v>
      </c>
      <c r="D51" s="4">
        <v>0</v>
      </c>
      <c r="E51" s="4">
        <v>0</v>
      </c>
      <c r="F51" s="4">
        <v>0</v>
      </c>
      <c r="G51" s="4">
        <v>0</v>
      </c>
    </row>
    <row r="52" spans="1:7" x14ac:dyDescent="0.3">
      <c r="A52" s="4" t="s">
        <v>267</v>
      </c>
      <c r="B52" s="4" t="s">
        <v>268</v>
      </c>
      <c r="C52" s="4" t="s">
        <v>93</v>
      </c>
      <c r="D52" s="4">
        <v>46509</v>
      </c>
      <c r="E52" s="4">
        <v>40934</v>
      </c>
      <c r="F52" s="4">
        <v>42055.277275053762</v>
      </c>
      <c r="G52" s="4">
        <v>42055.277275053762</v>
      </c>
    </row>
    <row r="53" spans="1:7" x14ac:dyDescent="0.3">
      <c r="A53" s="4" t="s">
        <v>269</v>
      </c>
      <c r="B53" s="4" t="s">
        <v>270</v>
      </c>
      <c r="C53" s="4" t="s">
        <v>93</v>
      </c>
      <c r="D53" s="4">
        <v>39540</v>
      </c>
      <c r="E53" s="4">
        <v>33371</v>
      </c>
      <c r="F53" s="4">
        <v>34547</v>
      </c>
      <c r="G53" s="4">
        <v>34547</v>
      </c>
    </row>
    <row r="54" spans="1:7" x14ac:dyDescent="0.3">
      <c r="A54" s="4" t="s">
        <v>271</v>
      </c>
      <c r="B54" s="4" t="s">
        <v>272</v>
      </c>
      <c r="C54" s="4" t="s">
        <v>93</v>
      </c>
      <c r="D54" s="4">
        <v>6528</v>
      </c>
      <c r="E54" s="4">
        <v>7003</v>
      </c>
      <c r="F54" s="4">
        <v>7003</v>
      </c>
      <c r="G54" s="4">
        <v>7003</v>
      </c>
    </row>
    <row r="55" spans="1:7" x14ac:dyDescent="0.3">
      <c r="A55" s="4" t="s">
        <v>273</v>
      </c>
      <c r="B55" s="4" t="s">
        <v>274</v>
      </c>
      <c r="C55" s="4" t="s">
        <v>93</v>
      </c>
      <c r="D55" s="4">
        <v>441</v>
      </c>
      <c r="E55" s="4">
        <v>560</v>
      </c>
      <c r="F55" s="4">
        <v>505.27727505376345</v>
      </c>
      <c r="G55" s="4">
        <v>505.27727505376345</v>
      </c>
    </row>
    <row r="56" spans="1:7" x14ac:dyDescent="0.3">
      <c r="A56" s="4" t="s">
        <v>25</v>
      </c>
      <c r="B56" s="4" t="s">
        <v>275</v>
      </c>
      <c r="C56" s="4" t="s">
        <v>93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3">
      <c r="A57" s="4" t="s">
        <v>26</v>
      </c>
      <c r="B57" s="4" t="s">
        <v>276</v>
      </c>
      <c r="C57" s="4" t="s">
        <v>121</v>
      </c>
      <c r="D57" s="4">
        <v>0</v>
      </c>
      <c r="E57" s="4">
        <v>0</v>
      </c>
      <c r="F57" s="4">
        <v>0</v>
      </c>
      <c r="G57" s="4">
        <v>0</v>
      </c>
    </row>
    <row r="59" spans="1:7" x14ac:dyDescent="0.3">
      <c r="A59" t="s">
        <v>131</v>
      </c>
    </row>
  </sheetData>
  <mergeCells count="2">
    <mergeCell ref="D6:G6"/>
    <mergeCell ref="A4:G4"/>
  </mergeCells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5"/>
  <sheetViews>
    <sheetView workbookViewId="0">
      <selection sqref="A1:F45"/>
    </sheetView>
  </sheetViews>
  <sheetFormatPr defaultRowHeight="14.4" x14ac:dyDescent="0.3"/>
  <cols>
    <col min="2" max="2" width="48.6640625" customWidth="1"/>
    <col min="4" max="4" width="24.33203125" customWidth="1"/>
    <col min="5" max="5" width="17.109375" customWidth="1"/>
    <col min="6" max="6" width="27.33203125" customWidth="1"/>
  </cols>
  <sheetData>
    <row r="1" spans="1:10" x14ac:dyDescent="0.3">
      <c r="D1" t="s">
        <v>277</v>
      </c>
    </row>
    <row r="2" spans="1:10" ht="48" customHeight="1" x14ac:dyDescent="0.3">
      <c r="D2" s="85" t="s">
        <v>184</v>
      </c>
      <c r="E2" s="85"/>
      <c r="F2" s="85"/>
    </row>
    <row r="4" spans="1:10" x14ac:dyDescent="0.3">
      <c r="A4" s="88" t="s">
        <v>278</v>
      </c>
      <c r="B4" s="88"/>
      <c r="C4" s="88"/>
      <c r="D4" s="88"/>
      <c r="E4" s="88"/>
      <c r="F4" s="88"/>
    </row>
    <row r="6" spans="1:10" x14ac:dyDescent="0.3">
      <c r="F6" t="s">
        <v>186</v>
      </c>
    </row>
    <row r="7" spans="1:10" ht="33" customHeight="1" x14ac:dyDescent="0.3">
      <c r="A7" s="87" t="s">
        <v>187</v>
      </c>
      <c r="B7" s="87" t="s">
        <v>188</v>
      </c>
      <c r="C7" s="86" t="s">
        <v>189</v>
      </c>
      <c r="D7" s="86" t="s">
        <v>190</v>
      </c>
      <c r="E7" s="86"/>
      <c r="F7" s="86"/>
    </row>
    <row r="8" spans="1:10" ht="28.8" x14ac:dyDescent="0.3">
      <c r="A8" s="87"/>
      <c r="B8" s="87"/>
      <c r="C8" s="86"/>
      <c r="D8" s="12" t="s">
        <v>191</v>
      </c>
      <c r="E8" s="12" t="s">
        <v>192</v>
      </c>
      <c r="F8" s="12" t="s">
        <v>279</v>
      </c>
      <c r="G8" s="3"/>
      <c r="H8" s="3"/>
      <c r="I8" s="3"/>
      <c r="J8" s="3"/>
    </row>
    <row r="9" spans="1:10" x14ac:dyDescent="0.3">
      <c r="A9" s="13" t="s">
        <v>195</v>
      </c>
      <c r="B9" s="13" t="s">
        <v>196</v>
      </c>
      <c r="C9" s="13" t="s">
        <v>15</v>
      </c>
      <c r="D9" s="13" t="s">
        <v>16</v>
      </c>
      <c r="E9" s="13" t="s">
        <v>17</v>
      </c>
      <c r="F9" s="13" t="s">
        <v>19</v>
      </c>
    </row>
    <row r="10" spans="1:10" x14ac:dyDescent="0.3">
      <c r="A10" s="4" t="s">
        <v>195</v>
      </c>
      <c r="B10" s="4" t="s">
        <v>197</v>
      </c>
      <c r="C10" s="4" t="s">
        <v>33</v>
      </c>
      <c r="D10" s="4">
        <v>999</v>
      </c>
      <c r="E10" s="4">
        <v>3224.5</v>
      </c>
      <c r="F10" s="4">
        <v>2656.187193920664</v>
      </c>
    </row>
    <row r="11" spans="1:10" x14ac:dyDescent="0.3">
      <c r="A11" s="4" t="s">
        <v>198</v>
      </c>
      <c r="B11" s="4" t="s">
        <v>280</v>
      </c>
      <c r="C11" s="4" t="s">
        <v>33</v>
      </c>
      <c r="D11" s="4">
        <v>95</v>
      </c>
      <c r="E11" s="4">
        <v>1151.78</v>
      </c>
      <c r="F11" s="4">
        <v>17.41</v>
      </c>
    </row>
    <row r="12" spans="1:10" x14ac:dyDescent="0.3">
      <c r="A12" s="4" t="s">
        <v>208</v>
      </c>
      <c r="B12" s="4" t="s">
        <v>281</v>
      </c>
      <c r="C12" s="4" t="s">
        <v>33</v>
      </c>
      <c r="D12" s="4">
        <v>360</v>
      </c>
      <c r="E12" s="4">
        <v>866.1</v>
      </c>
      <c r="F12" s="4">
        <v>1818.7840000000001</v>
      </c>
    </row>
    <row r="13" spans="1:10" x14ac:dyDescent="0.3">
      <c r="A13" s="4" t="s">
        <v>210</v>
      </c>
      <c r="B13" s="4" t="s">
        <v>282</v>
      </c>
      <c r="C13" s="4" t="s">
        <v>33</v>
      </c>
      <c r="D13" s="4">
        <v>544</v>
      </c>
      <c r="E13" s="4">
        <v>1206.6199999999999</v>
      </c>
      <c r="F13" s="4">
        <v>413.31247999999999</v>
      </c>
    </row>
    <row r="14" spans="1:10" x14ac:dyDescent="0.3">
      <c r="A14" s="4" t="s">
        <v>283</v>
      </c>
      <c r="B14" s="4" t="s">
        <v>213</v>
      </c>
      <c r="C14" s="4" t="s">
        <v>33</v>
      </c>
      <c r="D14" s="4">
        <v>184</v>
      </c>
      <c r="E14" s="4">
        <v>246.6</v>
      </c>
      <c r="F14" s="4">
        <v>400.13248000000004</v>
      </c>
    </row>
    <row r="15" spans="1:10" x14ac:dyDescent="0.3">
      <c r="A15" s="4" t="s">
        <v>214</v>
      </c>
      <c r="B15" s="4" t="s">
        <v>284</v>
      </c>
      <c r="C15" s="4" t="s">
        <v>33</v>
      </c>
      <c r="D15" s="4">
        <v>129</v>
      </c>
      <c r="E15" s="4">
        <v>12.5</v>
      </c>
      <c r="F15" s="4">
        <v>10.78</v>
      </c>
    </row>
    <row r="16" spans="1:10" x14ac:dyDescent="0.3">
      <c r="A16" s="4" t="s">
        <v>216</v>
      </c>
      <c r="B16" s="4" t="s">
        <v>217</v>
      </c>
      <c r="C16" s="4" t="s">
        <v>33</v>
      </c>
      <c r="D16" s="4">
        <v>231</v>
      </c>
      <c r="E16" s="4">
        <v>947.52</v>
      </c>
      <c r="F16" s="4">
        <v>2.3999999999999506</v>
      </c>
    </row>
    <row r="17" spans="1:6" x14ac:dyDescent="0.3">
      <c r="A17" s="4" t="s">
        <v>218</v>
      </c>
      <c r="B17" s="4" t="s">
        <v>219</v>
      </c>
      <c r="C17" s="4" t="s">
        <v>33</v>
      </c>
      <c r="D17" s="4">
        <v>77.349999999999994</v>
      </c>
      <c r="E17" s="4">
        <v>408</v>
      </c>
      <c r="F17" s="4">
        <v>406.68071392066372</v>
      </c>
    </row>
    <row r="18" spans="1:6" x14ac:dyDescent="0.3">
      <c r="A18" s="4" t="s">
        <v>220</v>
      </c>
      <c r="B18" s="4" t="s">
        <v>221</v>
      </c>
      <c r="C18" s="4" t="s">
        <v>33</v>
      </c>
      <c r="D18" s="4">
        <v>60.94</v>
      </c>
      <c r="E18" s="4">
        <v>289.68</v>
      </c>
      <c r="F18" s="4">
        <v>289.66444723161834</v>
      </c>
    </row>
    <row r="19" spans="1:6" x14ac:dyDescent="0.3">
      <c r="A19" s="4" t="s">
        <v>222</v>
      </c>
      <c r="B19" s="4" t="s">
        <v>213</v>
      </c>
      <c r="C19" s="4" t="s">
        <v>33</v>
      </c>
      <c r="D19" s="4">
        <v>13.42</v>
      </c>
      <c r="E19" s="4">
        <v>64.52</v>
      </c>
      <c r="F19" s="4">
        <v>63.726178390956036</v>
      </c>
    </row>
    <row r="20" spans="1:6" x14ac:dyDescent="0.3">
      <c r="A20" s="4" t="s">
        <v>223</v>
      </c>
      <c r="B20" s="4" t="s">
        <v>224</v>
      </c>
      <c r="C20" s="4" t="s">
        <v>33</v>
      </c>
      <c r="D20" s="4">
        <v>2.99</v>
      </c>
      <c r="E20" s="4">
        <v>53.8</v>
      </c>
      <c r="F20" s="4">
        <v>53.290088298089344</v>
      </c>
    </row>
    <row r="21" spans="1:6" x14ac:dyDescent="0.3">
      <c r="A21" s="4" t="s">
        <v>196</v>
      </c>
      <c r="B21" s="4" t="s">
        <v>225</v>
      </c>
      <c r="C21" s="4" t="s">
        <v>33</v>
      </c>
      <c r="D21" s="4">
        <v>64.59</v>
      </c>
      <c r="E21" s="4">
        <v>395.07</v>
      </c>
      <c r="F21" s="4">
        <v>204.69536831646576</v>
      </c>
    </row>
    <row r="22" spans="1:6" x14ac:dyDescent="0.3">
      <c r="A22" s="4" t="s">
        <v>226</v>
      </c>
      <c r="B22" s="4" t="s">
        <v>221</v>
      </c>
      <c r="C22" s="4" t="s">
        <v>33</v>
      </c>
      <c r="D22" s="4">
        <v>40.01</v>
      </c>
      <c r="E22" s="4">
        <v>250.36</v>
      </c>
      <c r="F22" s="4">
        <v>135.85194430875484</v>
      </c>
    </row>
    <row r="23" spans="1:6" x14ac:dyDescent="0.3">
      <c r="A23" s="4" t="s">
        <v>227</v>
      </c>
      <c r="B23" s="4" t="s">
        <v>213</v>
      </c>
      <c r="C23" s="4" t="s">
        <v>33</v>
      </c>
      <c r="D23" s="4">
        <v>8.8800000000000008</v>
      </c>
      <c r="E23" s="4">
        <v>53.4</v>
      </c>
      <c r="F23" s="4">
        <v>29.887427747926061</v>
      </c>
    </row>
    <row r="24" spans="1:6" x14ac:dyDescent="0.3">
      <c r="A24" s="4" t="s">
        <v>228</v>
      </c>
      <c r="B24" s="4" t="s">
        <v>224</v>
      </c>
      <c r="C24" s="4" t="s">
        <v>33</v>
      </c>
      <c r="D24" s="4">
        <v>15.7</v>
      </c>
      <c r="E24" s="4">
        <v>91.31</v>
      </c>
      <c r="F24" s="4">
        <v>38.955996259784861</v>
      </c>
    </row>
    <row r="25" spans="1:6" x14ac:dyDescent="0.3">
      <c r="A25" s="4" t="s">
        <v>15</v>
      </c>
      <c r="B25" s="4" t="s">
        <v>229</v>
      </c>
      <c r="C25" s="4" t="s">
        <v>33</v>
      </c>
      <c r="D25" s="4">
        <v>1339.56</v>
      </c>
      <c r="E25" s="4">
        <v>1330</v>
      </c>
      <c r="F25" s="4">
        <v>0</v>
      </c>
    </row>
    <row r="26" spans="1:6" x14ac:dyDescent="0.3">
      <c r="A26" s="4" t="s">
        <v>230</v>
      </c>
      <c r="B26" s="4" t="s">
        <v>221</v>
      </c>
      <c r="C26" s="4" t="s">
        <v>33</v>
      </c>
      <c r="D26" s="4">
        <v>958</v>
      </c>
      <c r="E26" s="4">
        <v>758.9</v>
      </c>
      <c r="F26" s="4">
        <v>0</v>
      </c>
    </row>
    <row r="27" spans="1:6" x14ac:dyDescent="0.3">
      <c r="A27" s="4" t="s">
        <v>231</v>
      </c>
      <c r="B27" s="4" t="s">
        <v>213</v>
      </c>
      <c r="C27" s="4" t="s">
        <v>33</v>
      </c>
      <c r="D27" s="4">
        <v>210.76</v>
      </c>
      <c r="E27" s="4">
        <v>149.80000000000001</v>
      </c>
      <c r="F27" s="4">
        <v>0</v>
      </c>
    </row>
    <row r="28" spans="1:6" x14ac:dyDescent="0.3">
      <c r="A28" s="4" t="s">
        <v>232</v>
      </c>
      <c r="B28" s="4" t="s">
        <v>233</v>
      </c>
      <c r="C28" s="4" t="s">
        <v>33</v>
      </c>
      <c r="D28" s="4">
        <v>170.8</v>
      </c>
      <c r="E28" s="4">
        <v>421.3</v>
      </c>
      <c r="F28" s="4">
        <v>0</v>
      </c>
    </row>
    <row r="29" spans="1:6" x14ac:dyDescent="0.3">
      <c r="A29" s="4" t="s">
        <v>16</v>
      </c>
      <c r="B29" s="4" t="s">
        <v>234</v>
      </c>
      <c r="C29" s="4" t="s">
        <v>33</v>
      </c>
      <c r="D29" s="4">
        <v>0</v>
      </c>
      <c r="E29" s="4">
        <v>0</v>
      </c>
      <c r="F29" s="4">
        <v>0</v>
      </c>
    </row>
    <row r="30" spans="1:6" x14ac:dyDescent="0.3">
      <c r="A30" s="4" t="s">
        <v>17</v>
      </c>
      <c r="B30" s="4" t="s">
        <v>235</v>
      </c>
      <c r="C30" s="4" t="s">
        <v>33</v>
      </c>
      <c r="D30" s="4">
        <v>0</v>
      </c>
      <c r="E30" s="4">
        <v>0</v>
      </c>
      <c r="F30" s="4">
        <v>0</v>
      </c>
    </row>
    <row r="31" spans="1:6" x14ac:dyDescent="0.3">
      <c r="A31" s="4" t="s">
        <v>18</v>
      </c>
      <c r="B31" s="4" t="s">
        <v>236</v>
      </c>
      <c r="C31" s="4" t="s">
        <v>33</v>
      </c>
      <c r="D31" s="4">
        <v>1063.5899999999999</v>
      </c>
      <c r="E31" s="4">
        <v>3619.57</v>
      </c>
      <c r="F31" s="4">
        <v>2860.8825622371296</v>
      </c>
    </row>
    <row r="32" spans="1:6" x14ac:dyDescent="0.3">
      <c r="A32" s="4" t="s">
        <v>19</v>
      </c>
      <c r="B32" s="4" t="s">
        <v>285</v>
      </c>
      <c r="C32" s="4" t="s">
        <v>33</v>
      </c>
      <c r="D32" s="4"/>
      <c r="E32" s="4"/>
      <c r="F32" s="4">
        <v>0</v>
      </c>
    </row>
    <row r="33" spans="1:6" x14ac:dyDescent="0.3">
      <c r="A33" s="4" t="s">
        <v>238</v>
      </c>
      <c r="B33" s="4" t="s">
        <v>239</v>
      </c>
      <c r="C33" s="4" t="s">
        <v>240</v>
      </c>
      <c r="D33" s="4" t="s">
        <v>34</v>
      </c>
      <c r="E33" s="4" t="s">
        <v>34</v>
      </c>
      <c r="F33" s="4">
        <v>0</v>
      </c>
    </row>
    <row r="34" spans="1:6" x14ac:dyDescent="0.3">
      <c r="A34" s="4" t="s">
        <v>241</v>
      </c>
      <c r="B34" s="4" t="s">
        <v>242</v>
      </c>
      <c r="C34" s="4" t="s">
        <v>33</v>
      </c>
      <c r="D34" s="4" t="s">
        <v>34</v>
      </c>
      <c r="E34" s="4" t="s">
        <v>34</v>
      </c>
      <c r="F34" s="4">
        <v>0</v>
      </c>
    </row>
    <row r="35" spans="1:6" x14ac:dyDescent="0.3">
      <c r="A35" s="4" t="s">
        <v>243</v>
      </c>
      <c r="B35" s="4" t="s">
        <v>244</v>
      </c>
      <c r="C35" s="4" t="s">
        <v>33</v>
      </c>
      <c r="D35" s="4" t="s">
        <v>34</v>
      </c>
      <c r="E35" s="4" t="s">
        <v>34</v>
      </c>
      <c r="F35" s="4">
        <v>0</v>
      </c>
    </row>
    <row r="36" spans="1:6" x14ac:dyDescent="0.3">
      <c r="A36" s="4" t="s">
        <v>245</v>
      </c>
      <c r="B36" s="4" t="s">
        <v>246</v>
      </c>
      <c r="C36" s="4" t="s">
        <v>33</v>
      </c>
      <c r="D36" s="4" t="s">
        <v>34</v>
      </c>
      <c r="E36" s="4" t="s">
        <v>34</v>
      </c>
      <c r="F36" s="4"/>
    </row>
    <row r="37" spans="1:6" x14ac:dyDescent="0.3">
      <c r="A37" s="4" t="s">
        <v>247</v>
      </c>
      <c r="B37" s="4" t="s">
        <v>248</v>
      </c>
      <c r="C37" s="4" t="s">
        <v>33</v>
      </c>
      <c r="D37" s="4" t="s">
        <v>34</v>
      </c>
      <c r="E37" s="4" t="s">
        <v>34</v>
      </c>
      <c r="F37" s="4"/>
    </row>
    <row r="38" spans="1:6" x14ac:dyDescent="0.3">
      <c r="A38" s="4" t="s">
        <v>20</v>
      </c>
      <c r="B38" s="4" t="s">
        <v>286</v>
      </c>
      <c r="C38" s="4" t="s">
        <v>33</v>
      </c>
      <c r="D38" s="4">
        <v>1063.5899999999999</v>
      </c>
      <c r="E38" s="4">
        <v>3619.57</v>
      </c>
      <c r="F38" s="4">
        <v>2860.8825622371296</v>
      </c>
    </row>
    <row r="39" spans="1:6" x14ac:dyDescent="0.3">
      <c r="A39" s="4" t="s">
        <v>21</v>
      </c>
      <c r="B39" s="4" t="s">
        <v>287</v>
      </c>
      <c r="C39" s="4" t="s">
        <v>121</v>
      </c>
      <c r="D39" s="4">
        <v>28.046040661340083</v>
      </c>
      <c r="E39" s="4">
        <v>88.424537059657013</v>
      </c>
      <c r="F39" s="4">
        <v>68.026719774693774</v>
      </c>
    </row>
    <row r="40" spans="1:6" x14ac:dyDescent="0.3">
      <c r="A40" s="4" t="s">
        <v>22</v>
      </c>
      <c r="B40" s="4" t="s">
        <v>288</v>
      </c>
      <c r="C40" s="4" t="s">
        <v>93</v>
      </c>
      <c r="D40" s="4">
        <v>37923</v>
      </c>
      <c r="E40" s="4">
        <v>40934</v>
      </c>
      <c r="F40" s="4">
        <v>42055.277275053762</v>
      </c>
    </row>
    <row r="41" spans="1:6" x14ac:dyDescent="0.3">
      <c r="A41" s="4" t="s">
        <v>253</v>
      </c>
      <c r="B41" s="4" t="s">
        <v>270</v>
      </c>
      <c r="C41" s="4" t="s">
        <v>93</v>
      </c>
      <c r="D41" s="4">
        <v>32422</v>
      </c>
      <c r="E41" s="4">
        <v>33371</v>
      </c>
      <c r="F41" s="4">
        <v>34547</v>
      </c>
    </row>
    <row r="42" spans="1:6" x14ac:dyDescent="0.3">
      <c r="A42" s="4" t="s">
        <v>255</v>
      </c>
      <c r="B42" s="4" t="s">
        <v>272</v>
      </c>
      <c r="C42" s="4" t="s">
        <v>93</v>
      </c>
      <c r="D42" s="4">
        <v>5056</v>
      </c>
      <c r="E42" s="4">
        <v>7003</v>
      </c>
      <c r="F42" s="4">
        <v>7003</v>
      </c>
    </row>
    <row r="43" spans="1:6" x14ac:dyDescent="0.3">
      <c r="A43" s="4" t="s">
        <v>289</v>
      </c>
      <c r="B43" s="4" t="s">
        <v>274</v>
      </c>
      <c r="C43" s="4" t="s">
        <v>93</v>
      </c>
      <c r="D43" s="4">
        <v>445</v>
      </c>
      <c r="E43" s="4">
        <v>560</v>
      </c>
      <c r="F43" s="4">
        <v>505.27727505376345</v>
      </c>
    </row>
    <row r="45" spans="1:6" x14ac:dyDescent="0.3">
      <c r="A45" t="s">
        <v>131</v>
      </c>
    </row>
  </sheetData>
  <mergeCells count="6">
    <mergeCell ref="D2:F2"/>
    <mergeCell ref="D7:F7"/>
    <mergeCell ref="C7:C8"/>
    <mergeCell ref="B7:B8"/>
    <mergeCell ref="A7:A8"/>
    <mergeCell ref="A4:F4"/>
  </mergeCells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61"/>
  <sheetViews>
    <sheetView workbookViewId="0">
      <selection activeCell="A2" sqref="A2:O2"/>
    </sheetView>
  </sheetViews>
  <sheetFormatPr defaultRowHeight="14.4" x14ac:dyDescent="0.3"/>
  <cols>
    <col min="1" max="1" width="7.109375" customWidth="1"/>
    <col min="2" max="2" width="78.88671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9" customWidth="1"/>
    <col min="15" max="15" width="12.6640625" hidden="1" customWidth="1"/>
  </cols>
  <sheetData>
    <row r="1" spans="1:15" ht="76.5" customHeight="1" x14ac:dyDescent="0.3">
      <c r="F1" s="72"/>
      <c r="G1" s="72"/>
      <c r="H1" s="72"/>
      <c r="M1" s="73" t="s">
        <v>314</v>
      </c>
      <c r="N1" s="73"/>
      <c r="O1" s="73"/>
    </row>
    <row r="2" spans="1:15" ht="36.75" customHeight="1" x14ac:dyDescent="0.3">
      <c r="A2" s="74" t="s">
        <v>306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0.75" hidden="1" customHeight="1" x14ac:dyDescent="0.3">
      <c r="A4" s="92" t="s">
        <v>132</v>
      </c>
      <c r="B4" s="89" t="s">
        <v>133</v>
      </c>
      <c r="C4" s="95" t="s">
        <v>290</v>
      </c>
      <c r="D4" s="95"/>
      <c r="E4" s="95" t="s">
        <v>291</v>
      </c>
      <c r="F4" s="95"/>
      <c r="G4" s="95" t="s">
        <v>290</v>
      </c>
      <c r="H4" s="95"/>
      <c r="I4" s="95" t="s">
        <v>291</v>
      </c>
      <c r="J4" s="95"/>
      <c r="K4" s="95" t="s">
        <v>290</v>
      </c>
      <c r="L4" s="95"/>
      <c r="M4" s="95" t="s">
        <v>291</v>
      </c>
      <c r="N4" s="95"/>
      <c r="O4" s="95" t="s">
        <v>292</v>
      </c>
    </row>
    <row r="5" spans="1:15" ht="38.25" customHeight="1" x14ac:dyDescent="0.3">
      <c r="A5" s="93"/>
      <c r="B5" s="90"/>
      <c r="C5" s="95" t="s">
        <v>293</v>
      </c>
      <c r="D5" s="95"/>
      <c r="E5" s="95" t="s">
        <v>300</v>
      </c>
      <c r="F5" s="95"/>
      <c r="G5" s="95" t="s">
        <v>300</v>
      </c>
      <c r="H5" s="95"/>
      <c r="I5" s="95" t="s">
        <v>307</v>
      </c>
      <c r="J5" s="95"/>
      <c r="K5" s="95" t="s">
        <v>294</v>
      </c>
      <c r="L5" s="95"/>
      <c r="M5" s="95" t="s">
        <v>308</v>
      </c>
      <c r="N5" s="95"/>
      <c r="O5" s="95"/>
    </row>
    <row r="6" spans="1:15" ht="18" x14ac:dyDescent="0.35">
      <c r="A6" s="94"/>
      <c r="B6" s="91"/>
      <c r="C6" s="18" t="s">
        <v>135</v>
      </c>
      <c r="D6" s="18" t="s">
        <v>134</v>
      </c>
      <c r="E6" s="18" t="s">
        <v>135</v>
      </c>
      <c r="F6" s="18" t="s">
        <v>134</v>
      </c>
      <c r="G6" s="21" t="s">
        <v>313</v>
      </c>
      <c r="H6" s="18" t="s">
        <v>357</v>
      </c>
      <c r="I6" s="18" t="s">
        <v>313</v>
      </c>
      <c r="J6" s="18" t="s">
        <v>357</v>
      </c>
      <c r="K6" s="18" t="s">
        <v>135</v>
      </c>
      <c r="L6" s="18" t="s">
        <v>134</v>
      </c>
      <c r="M6" s="18" t="s">
        <v>313</v>
      </c>
      <c r="N6" s="18" t="s">
        <v>357</v>
      </c>
      <c r="O6" s="18"/>
    </row>
    <row r="7" spans="1:15" ht="18" x14ac:dyDescent="0.35">
      <c r="A7" s="18">
        <v>1</v>
      </c>
      <c r="B7" s="18">
        <v>2</v>
      </c>
      <c r="C7" s="18"/>
      <c r="D7" s="18"/>
      <c r="E7" s="18">
        <v>3</v>
      </c>
      <c r="F7" s="18">
        <v>4</v>
      </c>
      <c r="G7" s="18">
        <v>3</v>
      </c>
      <c r="H7" s="18">
        <v>4</v>
      </c>
      <c r="I7" s="18">
        <v>5</v>
      </c>
      <c r="J7" s="18">
        <v>6</v>
      </c>
      <c r="K7" s="18"/>
      <c r="L7" s="18"/>
      <c r="M7" s="18">
        <v>7</v>
      </c>
      <c r="N7" s="18">
        <v>8</v>
      </c>
      <c r="O7" s="18"/>
    </row>
    <row r="8" spans="1:15" ht="18" x14ac:dyDescent="0.35">
      <c r="A8" s="14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41">
        <f>G9+G20+G21+G24</f>
        <v>91544.440000000017</v>
      </c>
      <c r="H8" s="41">
        <f>G8/G42*1000</f>
        <v>2777.3562695306578</v>
      </c>
      <c r="I8" s="41">
        <f>I9+I20+I21+I24</f>
        <v>28725.57</v>
      </c>
      <c r="J8" s="41">
        <f>J9+J20+J21+J24</f>
        <v>4062.4480271531606</v>
      </c>
      <c r="K8" s="41">
        <v>952.54</v>
      </c>
      <c r="L8" s="41">
        <v>1405.09</v>
      </c>
      <c r="M8" s="41">
        <f>M9+M20+M21+M24</f>
        <v>3719.1499999999996</v>
      </c>
      <c r="N8" s="41">
        <f>N9+N20+N21+N24</f>
        <v>6713.26714801444</v>
      </c>
      <c r="O8" s="14">
        <v>98148.493699220722</v>
      </c>
    </row>
    <row r="9" spans="1:15" ht="18" x14ac:dyDescent="0.35">
      <c r="A9" s="14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41">
        <f>G10+G14+G18+G19</f>
        <v>69099.670000000013</v>
      </c>
      <c r="H9" s="41">
        <f>G9/G42*1000</f>
        <v>2096.4069658080766</v>
      </c>
      <c r="I9" s="41">
        <f>I10+I14+I18+I19</f>
        <v>23910.57</v>
      </c>
      <c r="J9" s="41">
        <f>J10+J14+J18+J19</f>
        <v>3381.4976665252439</v>
      </c>
      <c r="K9" s="41">
        <v>800.76</v>
      </c>
      <c r="L9" s="41">
        <v>1181.07</v>
      </c>
      <c r="M9" s="41">
        <f>M10+M14+M18+M19</f>
        <v>3341.91</v>
      </c>
      <c r="N9" s="41">
        <f>N10+N14+N18+N19</f>
        <v>6032.328519855595</v>
      </c>
      <c r="O9" s="14">
        <v>73050.07147387549</v>
      </c>
    </row>
    <row r="10" spans="1:15" ht="18.75" customHeight="1" x14ac:dyDescent="0.35">
      <c r="A10" s="14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41">
        <v>60308.74</v>
      </c>
      <c r="H10" s="41">
        <f>G10/G42*1000</f>
        <v>1829.699948423895</v>
      </c>
      <c r="I10" s="41">
        <v>22024.69</v>
      </c>
      <c r="J10" s="41">
        <f>I10/I42*1000</f>
        <v>3114.7914014990806</v>
      </c>
      <c r="K10" s="41">
        <v>752.76</v>
      </c>
      <c r="L10" s="41">
        <v>1110.27</v>
      </c>
      <c r="M10" s="41">
        <v>3194.16</v>
      </c>
      <c r="N10" s="41">
        <f>M10/M42*1000</f>
        <v>5765.6317689530679</v>
      </c>
      <c r="O10" s="14">
        <v>68319.448793124087</v>
      </c>
    </row>
    <row r="11" spans="1:15" ht="18" hidden="1" x14ac:dyDescent="0.35">
      <c r="A11" s="14"/>
      <c r="B11" s="16" t="s">
        <v>295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41">
        <v>39675.38494593247</v>
      </c>
      <c r="H11" s="41">
        <v>1148.4466074024508</v>
      </c>
      <c r="I11" s="41">
        <v>13651.705807216009</v>
      </c>
      <c r="J11" s="41">
        <v>1949.4082260768255</v>
      </c>
      <c r="K11" s="41">
        <v>671.71002842055555</v>
      </c>
      <c r="L11" s="41">
        <v>990.72678311080585</v>
      </c>
      <c r="M11" s="41">
        <v>984.96170574653604</v>
      </c>
      <c r="N11" s="41">
        <v>1949.3699718897478</v>
      </c>
      <c r="O11" s="14">
        <v>54312.052458895014</v>
      </c>
    </row>
    <row r="12" spans="1:15" ht="18" hidden="1" x14ac:dyDescent="0.35">
      <c r="A12" s="14"/>
      <c r="B12" s="16" t="s">
        <v>296</v>
      </c>
      <c r="C12" s="14">
        <v>1118.5450005724183</v>
      </c>
      <c r="D12" s="14">
        <v>24.97507710470957</v>
      </c>
      <c r="E12" s="17">
        <v>1216.9208979463872</v>
      </c>
      <c r="F12" s="17">
        <v>35.225081713213505</v>
      </c>
      <c r="G12" s="41">
        <v>1216.9208979463872</v>
      </c>
      <c r="H12" s="41">
        <v>35.225081713213505</v>
      </c>
      <c r="I12" s="41">
        <v>418.72425716994559</v>
      </c>
      <c r="J12" s="41">
        <v>59.792125827494722</v>
      </c>
      <c r="K12" s="41">
        <v>16.933033443523804</v>
      </c>
      <c r="L12" s="41">
        <v>24.97507710470957</v>
      </c>
      <c r="M12" s="41">
        <v>30.210683148589407</v>
      </c>
      <c r="N12" s="41">
        <v>59.790339058752735</v>
      </c>
      <c r="O12" s="14">
        <v>1665.8558382649221</v>
      </c>
    </row>
    <row r="13" spans="1:15" ht="18" hidden="1" x14ac:dyDescent="0.35">
      <c r="A13" s="14"/>
      <c r="B13" s="16" t="s">
        <v>297</v>
      </c>
      <c r="C13" s="14">
        <v>4235.3711071995804</v>
      </c>
      <c r="D13" s="14">
        <v>94.568139784484558</v>
      </c>
      <c r="E13" s="17">
        <v>9015.5647452239355</v>
      </c>
      <c r="F13" s="17">
        <v>260.96519944492843</v>
      </c>
      <c r="G13" s="41">
        <v>9015.5647452239355</v>
      </c>
      <c r="H13" s="41">
        <v>260.96519944492843</v>
      </c>
      <c r="I13" s="41">
        <v>3102.1208176160021</v>
      </c>
      <c r="J13" s="41">
        <v>442.97027239982879</v>
      </c>
      <c r="K13" s="41">
        <v>64.116938135920634</v>
      </c>
      <c r="L13" s="41">
        <v>94.568139784484558</v>
      </c>
      <c r="M13" s="41">
        <v>223.85493312421283</v>
      </c>
      <c r="N13" s="41">
        <v>443.01408452039715</v>
      </c>
      <c r="O13" s="14">
        <v>12341.540495964149</v>
      </c>
    </row>
    <row r="14" spans="1:15" ht="19.5" customHeight="1" x14ac:dyDescent="0.35">
      <c r="A14" s="14" t="s">
        <v>41</v>
      </c>
      <c r="B14" s="16" t="s">
        <v>139</v>
      </c>
      <c r="C14" s="14">
        <v>2922.32</v>
      </c>
      <c r="D14" s="14">
        <v>65.25</v>
      </c>
      <c r="E14" s="17">
        <v>3494.3465336017216</v>
      </c>
      <c r="F14" s="17">
        <v>101.14761147427335</v>
      </c>
      <c r="G14" s="41">
        <v>5472.53</v>
      </c>
      <c r="H14" s="41">
        <f>G14/G42*1000</f>
        <v>166.03046024089073</v>
      </c>
      <c r="I14" s="41">
        <v>1174</v>
      </c>
      <c r="J14" s="41">
        <f>I14/I42*1000</f>
        <v>166.03026446047235</v>
      </c>
      <c r="K14" s="41">
        <v>44.24</v>
      </c>
      <c r="L14" s="41">
        <v>65.25</v>
      </c>
      <c r="M14" s="41">
        <v>91.98</v>
      </c>
      <c r="N14" s="41">
        <f>M14/M42*1000</f>
        <v>166.02888086642599</v>
      </c>
      <c r="O14" s="14">
        <v>4253.7910250977184</v>
      </c>
    </row>
    <row r="15" spans="1:15" ht="18" hidden="1" x14ac:dyDescent="0.35">
      <c r="A15" s="14" t="s">
        <v>43</v>
      </c>
      <c r="B15" s="16" t="s">
        <v>140</v>
      </c>
      <c r="C15" s="14"/>
      <c r="D15" s="14"/>
      <c r="E15" s="17">
        <v>0</v>
      </c>
      <c r="F15" s="17">
        <v>0</v>
      </c>
      <c r="G15" s="41">
        <v>0</v>
      </c>
      <c r="H15" s="41">
        <v>0</v>
      </c>
      <c r="I15" s="41">
        <v>0</v>
      </c>
      <c r="J15" s="41">
        <v>0</v>
      </c>
      <c r="K15" s="41"/>
      <c r="L15" s="41"/>
      <c r="M15" s="41">
        <v>0</v>
      </c>
      <c r="N15" s="41">
        <v>0</v>
      </c>
      <c r="O15" s="14">
        <v>0</v>
      </c>
    </row>
    <row r="16" spans="1:15" ht="36" hidden="1" x14ac:dyDescent="0.35">
      <c r="A16" s="14" t="s">
        <v>141</v>
      </c>
      <c r="B16" s="16" t="s">
        <v>142</v>
      </c>
      <c r="C16" s="14"/>
      <c r="D16" s="14"/>
      <c r="E16" s="17">
        <v>0</v>
      </c>
      <c r="F16" s="17">
        <v>0</v>
      </c>
      <c r="G16" s="41">
        <v>0</v>
      </c>
      <c r="H16" s="41">
        <v>0</v>
      </c>
      <c r="I16" s="41">
        <v>0</v>
      </c>
      <c r="J16" s="41">
        <v>0</v>
      </c>
      <c r="K16" s="41"/>
      <c r="L16" s="41"/>
      <c r="M16" s="41">
        <v>0</v>
      </c>
      <c r="N16" s="41">
        <v>0</v>
      </c>
      <c r="O16" s="14">
        <v>0</v>
      </c>
    </row>
    <row r="17" spans="1:15" ht="18" hidden="1" x14ac:dyDescent="0.35">
      <c r="A17" s="14" t="s">
        <v>45</v>
      </c>
      <c r="B17" s="16" t="s">
        <v>143</v>
      </c>
      <c r="C17" s="14"/>
      <c r="D17" s="14"/>
      <c r="E17" s="17">
        <v>0</v>
      </c>
      <c r="F17" s="17">
        <v>0</v>
      </c>
      <c r="G17" s="41">
        <v>0</v>
      </c>
      <c r="H17" s="41">
        <v>0</v>
      </c>
      <c r="I17" s="41">
        <v>0</v>
      </c>
      <c r="J17" s="41">
        <v>0</v>
      </c>
      <c r="K17" s="41"/>
      <c r="L17" s="41"/>
      <c r="M17" s="41">
        <v>0</v>
      </c>
      <c r="N17" s="41">
        <v>0</v>
      </c>
      <c r="O17" s="14">
        <v>0</v>
      </c>
    </row>
    <row r="18" spans="1:15" ht="18" x14ac:dyDescent="0.35">
      <c r="A18" s="14" t="s">
        <v>301</v>
      </c>
      <c r="B18" s="16" t="s">
        <v>46</v>
      </c>
      <c r="C18" s="14">
        <v>110.79</v>
      </c>
      <c r="D18" s="14">
        <v>2.4700000000000002</v>
      </c>
      <c r="E18" s="17">
        <v>109.42068458420637</v>
      </c>
      <c r="F18" s="17">
        <v>3.1672991745797425</v>
      </c>
      <c r="G18" s="41">
        <v>260.83</v>
      </c>
      <c r="H18" s="41">
        <f>G18/G42*1000</f>
        <v>7.9132914656715512</v>
      </c>
      <c r="I18" s="41">
        <v>55.95</v>
      </c>
      <c r="J18" s="41">
        <f>I18/I42*1000</f>
        <v>7.9126007636826472</v>
      </c>
      <c r="K18" s="41">
        <v>1.67</v>
      </c>
      <c r="L18" s="41">
        <v>2.4700000000000002</v>
      </c>
      <c r="M18" s="41">
        <v>4.38</v>
      </c>
      <c r="N18" s="41">
        <f>M18/M42*1000</f>
        <v>7.9061371841155239</v>
      </c>
      <c r="O18" s="14">
        <v>133.20165227659163</v>
      </c>
    </row>
    <row r="19" spans="1:15" ht="18" customHeight="1" x14ac:dyDescent="0.35">
      <c r="A19" s="14" t="s">
        <v>302</v>
      </c>
      <c r="B19" s="16" t="s">
        <v>144</v>
      </c>
      <c r="C19" s="14">
        <v>137.78</v>
      </c>
      <c r="D19" s="14">
        <v>3.08</v>
      </c>
      <c r="E19" s="17">
        <v>164.28241521803835</v>
      </c>
      <c r="F19" s="17">
        <v>4.7553308599310604</v>
      </c>
      <c r="G19" s="41">
        <v>3057.57</v>
      </c>
      <c r="H19" s="41">
        <f>G19/G42*1000</f>
        <v>92.763265677619017</v>
      </c>
      <c r="I19" s="41">
        <v>655.93</v>
      </c>
      <c r="J19" s="41">
        <f>I19/I42*1000</f>
        <v>92.763399802008195</v>
      </c>
      <c r="K19" s="41">
        <v>2.09</v>
      </c>
      <c r="L19" s="41">
        <v>3.08</v>
      </c>
      <c r="M19" s="41">
        <v>51.39</v>
      </c>
      <c r="N19" s="41">
        <f>M19/M42*1000</f>
        <v>92.76173285198557</v>
      </c>
      <c r="O19" s="14">
        <v>413.22000327549733</v>
      </c>
    </row>
    <row r="20" spans="1:15" ht="36.75" customHeight="1" x14ac:dyDescent="0.35">
      <c r="A20" s="14" t="s">
        <v>49</v>
      </c>
      <c r="B20" s="16" t="s">
        <v>145</v>
      </c>
      <c r="C20" s="14">
        <v>5240.01</v>
      </c>
      <c r="D20" s="14">
        <v>117</v>
      </c>
      <c r="E20" s="17">
        <v>8034.1019561128678</v>
      </c>
      <c r="F20" s="17">
        <v>232.5557054480235</v>
      </c>
      <c r="G20" s="41">
        <f>8595.53</f>
        <v>8595.5300000000007</v>
      </c>
      <c r="H20" s="41">
        <f>G20/G42*1000</f>
        <v>260.77879918691787</v>
      </c>
      <c r="I20" s="41">
        <v>1843.97</v>
      </c>
      <c r="J20" s="41">
        <f>I20/I42*1000</f>
        <v>260.7792391458068</v>
      </c>
      <c r="K20" s="41">
        <v>79.23</v>
      </c>
      <c r="L20" s="41">
        <v>117</v>
      </c>
      <c r="M20" s="41">
        <v>144.47</v>
      </c>
      <c r="N20" s="41">
        <f>M20/M42*1000</f>
        <v>260.77617328519852</v>
      </c>
      <c r="O20" s="14">
        <v>9780.1947004323792</v>
      </c>
    </row>
    <row r="21" spans="1:15" ht="18" x14ac:dyDescent="0.35">
      <c r="A21" s="14" t="s">
        <v>51</v>
      </c>
      <c r="B21" s="16" t="s">
        <v>146</v>
      </c>
      <c r="C21" s="14">
        <v>1142.56</v>
      </c>
      <c r="D21" s="14">
        <v>25.51</v>
      </c>
      <c r="E21" s="17">
        <v>4176.7628483106555</v>
      </c>
      <c r="F21" s="17">
        <v>120.90088425364449</v>
      </c>
      <c r="G21" s="41">
        <f>G22+G23</f>
        <v>4314.6399999999994</v>
      </c>
      <c r="H21" s="41">
        <f>G21/G42*1000</f>
        <v>130.90136828372923</v>
      </c>
      <c r="I21" s="41">
        <f>I22+I23</f>
        <v>925.61</v>
      </c>
      <c r="J21" s="41">
        <f>J22+J23</f>
        <v>130.90227690567104</v>
      </c>
      <c r="K21" s="41">
        <v>17.29</v>
      </c>
      <c r="L21" s="41">
        <v>25.51</v>
      </c>
      <c r="M21" s="41">
        <f>M22+M23</f>
        <v>72.52000000000001</v>
      </c>
      <c r="N21" s="41">
        <f>N22+N23</f>
        <v>130.90252707581229</v>
      </c>
      <c r="O21" s="14">
        <v>5084.5203299667946</v>
      </c>
    </row>
    <row r="22" spans="1:15" ht="18" x14ac:dyDescent="0.35">
      <c r="A22" s="14" t="s">
        <v>53</v>
      </c>
      <c r="B22" s="16" t="s">
        <v>56</v>
      </c>
      <c r="C22" s="14">
        <v>806.66</v>
      </c>
      <c r="D22" s="14">
        <v>18.010000000000002</v>
      </c>
      <c r="E22" s="17">
        <v>2947.4758968707151</v>
      </c>
      <c r="F22" s="17">
        <v>85.317853847532788</v>
      </c>
      <c r="G22" s="41">
        <v>3099.33</v>
      </c>
      <c r="H22" s="41">
        <f>G22/G42*1000</f>
        <v>94.030217529807942</v>
      </c>
      <c r="I22" s="41">
        <v>664.89</v>
      </c>
      <c r="J22" s="41">
        <f>I22/I42*1000</f>
        <v>94.030547305897329</v>
      </c>
      <c r="K22" s="41">
        <v>12.21</v>
      </c>
      <c r="L22" s="41">
        <v>18.010000000000002</v>
      </c>
      <c r="M22" s="41">
        <v>52.09</v>
      </c>
      <c r="N22" s="41">
        <f>M22/M42*1000</f>
        <v>94.025270758122758</v>
      </c>
      <c r="O22" s="14">
        <v>3588.0661154562245</v>
      </c>
    </row>
    <row r="23" spans="1:15" ht="18" x14ac:dyDescent="0.35">
      <c r="A23" s="14" t="s">
        <v>55</v>
      </c>
      <c r="B23" s="16" t="s">
        <v>311</v>
      </c>
      <c r="C23" s="14">
        <v>335.9</v>
      </c>
      <c r="D23" s="14">
        <v>7.5</v>
      </c>
      <c r="E23" s="17">
        <v>1229.286951439941</v>
      </c>
      <c r="F23" s="17">
        <v>35.583030406111703</v>
      </c>
      <c r="G23" s="41">
        <v>1215.31</v>
      </c>
      <c r="H23" s="41">
        <f>G23/G42*1000</f>
        <v>36.871150753921299</v>
      </c>
      <c r="I23" s="41">
        <v>260.72000000000003</v>
      </c>
      <c r="J23" s="41">
        <f>I23/I42*1000</f>
        <v>36.87172959977373</v>
      </c>
      <c r="K23" s="41">
        <v>5.08</v>
      </c>
      <c r="L23" s="41">
        <v>7.5</v>
      </c>
      <c r="M23" s="41">
        <v>20.43</v>
      </c>
      <c r="N23" s="41">
        <f>M23/M42*1000</f>
        <v>36.877256317689529</v>
      </c>
      <c r="O23" s="14">
        <v>1496.4542145105709</v>
      </c>
    </row>
    <row r="24" spans="1:15" ht="18" x14ac:dyDescent="0.35">
      <c r="A24" s="14" t="s">
        <v>59</v>
      </c>
      <c r="B24" s="16" t="s">
        <v>147</v>
      </c>
      <c r="C24" s="14">
        <v>3650.51</v>
      </c>
      <c r="D24" s="14">
        <v>81.510000000000005</v>
      </c>
      <c r="E24" s="17">
        <v>8406.6471456333948</v>
      </c>
      <c r="F24" s="17">
        <v>243.33942587296713</v>
      </c>
      <c r="G24" s="41">
        <f>G25+G26</f>
        <v>9534.6</v>
      </c>
      <c r="H24" s="41">
        <f>G24/G42*1000</f>
        <v>289.26913625193413</v>
      </c>
      <c r="I24" s="41">
        <f>I25+I26</f>
        <v>2045.42</v>
      </c>
      <c r="J24" s="41">
        <f>J25+J26</f>
        <v>289.26884457643899</v>
      </c>
      <c r="K24" s="41">
        <v>55.26</v>
      </c>
      <c r="L24" s="41">
        <v>81.510000000000005</v>
      </c>
      <c r="M24" s="41">
        <f>M25+M26</f>
        <v>160.25</v>
      </c>
      <c r="N24" s="41">
        <f>N25+N26</f>
        <v>289.25992779783394</v>
      </c>
      <c r="O24" s="14">
        <v>10233.707024380214</v>
      </c>
    </row>
    <row r="25" spans="1:15" ht="20.25" customHeight="1" x14ac:dyDescent="0.35">
      <c r="A25" s="14" t="s">
        <v>61</v>
      </c>
      <c r="B25" s="16" t="s">
        <v>148</v>
      </c>
      <c r="C25" s="14">
        <v>3321.11</v>
      </c>
      <c r="D25" s="14">
        <v>74.150000000000006</v>
      </c>
      <c r="E25" s="17">
        <v>7303.0470979519923</v>
      </c>
      <c r="F25" s="17">
        <v>211.39453781665532</v>
      </c>
      <c r="G25" s="41">
        <v>7820.46</v>
      </c>
      <c r="H25" s="41">
        <f>G25/G42*1000</f>
        <v>237.2640393191954</v>
      </c>
      <c r="I25" s="41">
        <v>1677.69</v>
      </c>
      <c r="J25" s="41">
        <f>I25/I42*1000</f>
        <v>237.26347051336447</v>
      </c>
      <c r="K25" s="41">
        <v>50.27</v>
      </c>
      <c r="L25" s="41">
        <v>74.150000000000006</v>
      </c>
      <c r="M25" s="41">
        <v>131.44</v>
      </c>
      <c r="N25" s="41">
        <f>M25/M42*1000</f>
        <v>237.25631768953068</v>
      </c>
      <c r="O25" s="14">
        <v>8890.2560481736564</v>
      </c>
    </row>
    <row r="26" spans="1:15" ht="18" x14ac:dyDescent="0.35">
      <c r="A26" s="14" t="s">
        <v>63</v>
      </c>
      <c r="B26" s="16" t="s">
        <v>65</v>
      </c>
      <c r="C26" s="14">
        <v>329.4</v>
      </c>
      <c r="D26" s="14">
        <v>7.36</v>
      </c>
      <c r="E26" s="17">
        <v>1103.6000476814036</v>
      </c>
      <c r="F26" s="17">
        <v>31.944888056311797</v>
      </c>
      <c r="G26" s="41">
        <v>1714.14</v>
      </c>
      <c r="H26" s="41">
        <f>G26/G42*1000</f>
        <v>52.005096932738695</v>
      </c>
      <c r="I26" s="41">
        <v>367.73</v>
      </c>
      <c r="J26" s="41">
        <f>I26/I42*1000</f>
        <v>52.005374063074534</v>
      </c>
      <c r="K26" s="41">
        <v>4.99</v>
      </c>
      <c r="L26" s="41">
        <v>7.36</v>
      </c>
      <c r="M26" s="41">
        <v>28.81</v>
      </c>
      <c r="N26" s="41">
        <f>M26/M42*1000</f>
        <v>52.003610108303249</v>
      </c>
      <c r="O26" s="14">
        <v>1343.4511467724149</v>
      </c>
    </row>
    <row r="27" spans="1:15" ht="18" x14ac:dyDescent="0.35">
      <c r="A27" s="14" t="s">
        <v>149</v>
      </c>
      <c r="B27" s="16" t="s">
        <v>150</v>
      </c>
      <c r="C27" s="14">
        <v>1821.53</v>
      </c>
      <c r="D27" s="14">
        <v>40.67</v>
      </c>
      <c r="E27" s="17">
        <v>4089.9807236778006</v>
      </c>
      <c r="F27" s="17">
        <v>118.38888249856139</v>
      </c>
      <c r="G27" s="41">
        <f>G28+G29</f>
        <v>4615</v>
      </c>
      <c r="H27" s="41">
        <f>H28+H29</f>
        <v>140.01395588726069</v>
      </c>
      <c r="I27" s="41">
        <f>I28+I29</f>
        <v>990.04</v>
      </c>
      <c r="J27" s="41">
        <f>J28+J29</f>
        <v>140.01414227124877</v>
      </c>
      <c r="K27" s="41">
        <v>27.57</v>
      </c>
      <c r="L27" s="41">
        <v>40.67</v>
      </c>
      <c r="M27" s="41">
        <f>M28+M29</f>
        <v>77.570000000000007</v>
      </c>
      <c r="N27" s="41">
        <f>N28+N29</f>
        <v>140.01805054151626</v>
      </c>
      <c r="O27" s="14">
        <v>4978.8773609640157</v>
      </c>
    </row>
    <row r="28" spans="1:15" ht="16.5" customHeight="1" x14ac:dyDescent="0.35">
      <c r="A28" s="14" t="s">
        <v>67</v>
      </c>
      <c r="B28" s="16" t="s">
        <v>148</v>
      </c>
      <c r="C28" s="14">
        <v>1705.92</v>
      </c>
      <c r="D28" s="14">
        <v>38.090000000000003</v>
      </c>
      <c r="E28" s="17">
        <v>3425.2107122297944</v>
      </c>
      <c r="F28" s="17">
        <v>99.146400909769127</v>
      </c>
      <c r="G28" s="41">
        <v>3844.43</v>
      </c>
      <c r="H28" s="41">
        <f>G28/G42*1000</f>
        <v>116.63572100361031</v>
      </c>
      <c r="I28" s="41">
        <v>824.73</v>
      </c>
      <c r="J28" s="41">
        <f>I28/I42*1000</f>
        <v>116.63555366991939</v>
      </c>
      <c r="K28" s="41">
        <v>25.82</v>
      </c>
      <c r="L28" s="41">
        <v>38.090000000000003</v>
      </c>
      <c r="M28" s="41">
        <v>64.62</v>
      </c>
      <c r="N28" s="41">
        <f>M28/M42*1000</f>
        <v>116.64259927797835</v>
      </c>
      <c r="O28" s="14">
        <v>4169.6294494951408</v>
      </c>
    </row>
    <row r="29" spans="1:15" ht="18" x14ac:dyDescent="0.35">
      <c r="A29" s="14" t="s">
        <v>68</v>
      </c>
      <c r="B29" s="16" t="s">
        <v>65</v>
      </c>
      <c r="C29" s="14">
        <v>115.61</v>
      </c>
      <c r="D29" s="14">
        <v>2.58</v>
      </c>
      <c r="E29" s="17">
        <v>664.7700114480067</v>
      </c>
      <c r="F29" s="17">
        <v>19.242481588792273</v>
      </c>
      <c r="G29" s="41">
        <v>770.57</v>
      </c>
      <c r="H29" s="41">
        <f>G29/G42*1000</f>
        <v>23.378234883650375</v>
      </c>
      <c r="I29" s="41">
        <v>165.31</v>
      </c>
      <c r="J29" s="41">
        <f>I29/I42*1000</f>
        <v>23.378588601329373</v>
      </c>
      <c r="K29" s="41">
        <v>1.75</v>
      </c>
      <c r="L29" s="41">
        <v>2.58</v>
      </c>
      <c r="M29" s="41">
        <v>12.95</v>
      </c>
      <c r="N29" s="41">
        <f>M29/M42*1000</f>
        <v>23.375451263537904</v>
      </c>
      <c r="O29" s="14">
        <v>809.2479114688756</v>
      </c>
    </row>
    <row r="30" spans="1:15" ht="18" x14ac:dyDescent="0.35">
      <c r="A30" s="14" t="s">
        <v>151</v>
      </c>
      <c r="B30" s="16" t="s">
        <v>152</v>
      </c>
      <c r="C30" s="14">
        <v>47.03</v>
      </c>
      <c r="D30" s="14">
        <v>1.05</v>
      </c>
      <c r="E30" s="17">
        <v>0</v>
      </c>
      <c r="F30" s="17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0.71</v>
      </c>
      <c r="L30" s="41">
        <v>1.05</v>
      </c>
      <c r="M30" s="41">
        <v>0</v>
      </c>
      <c r="N30" s="41">
        <v>0</v>
      </c>
      <c r="O30" s="14">
        <v>0</v>
      </c>
    </row>
    <row r="31" spans="1:15" ht="22.5" customHeight="1" x14ac:dyDescent="0.35">
      <c r="A31" s="14" t="s">
        <v>72</v>
      </c>
      <c r="B31" s="16" t="s">
        <v>148</v>
      </c>
      <c r="C31" s="14">
        <v>44.79</v>
      </c>
      <c r="D31" s="14">
        <v>1</v>
      </c>
      <c r="E31" s="17">
        <v>0</v>
      </c>
      <c r="F31" s="17">
        <v>0</v>
      </c>
      <c r="G31" s="41">
        <v>0</v>
      </c>
      <c r="H31" s="41">
        <v>0</v>
      </c>
      <c r="I31" s="41">
        <v>0</v>
      </c>
      <c r="J31" s="41">
        <v>0</v>
      </c>
      <c r="K31" s="41">
        <v>0.68</v>
      </c>
      <c r="L31" s="41">
        <v>1</v>
      </c>
      <c r="M31" s="41">
        <v>0</v>
      </c>
      <c r="N31" s="41">
        <v>0</v>
      </c>
      <c r="O31" s="14">
        <v>0</v>
      </c>
    </row>
    <row r="32" spans="1:15" ht="18" x14ac:dyDescent="0.35">
      <c r="A32" s="14" t="s">
        <v>73</v>
      </c>
      <c r="B32" s="16" t="s">
        <v>65</v>
      </c>
      <c r="C32" s="14">
        <v>2.2400000000000002</v>
      </c>
      <c r="D32" s="14">
        <v>0.05</v>
      </c>
      <c r="E32" s="17">
        <v>0</v>
      </c>
      <c r="F32" s="17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0.03</v>
      </c>
      <c r="L32" s="41">
        <v>0.05</v>
      </c>
      <c r="M32" s="41">
        <v>0</v>
      </c>
      <c r="N32" s="41">
        <v>0</v>
      </c>
      <c r="O32" s="14">
        <v>0</v>
      </c>
    </row>
    <row r="33" spans="1:15" ht="18" x14ac:dyDescent="0.35">
      <c r="A33" s="14" t="s">
        <v>153</v>
      </c>
      <c r="B33" s="16" t="s">
        <v>154</v>
      </c>
      <c r="C33" s="14"/>
      <c r="D33" s="14"/>
      <c r="E33" s="17">
        <v>0</v>
      </c>
      <c r="F33" s="17">
        <v>0</v>
      </c>
      <c r="G33" s="41">
        <v>0</v>
      </c>
      <c r="H33" s="41">
        <v>0</v>
      </c>
      <c r="I33" s="41">
        <v>0</v>
      </c>
      <c r="J33" s="41">
        <v>0</v>
      </c>
      <c r="K33" s="41"/>
      <c r="L33" s="41"/>
      <c r="M33" s="41">
        <v>0</v>
      </c>
      <c r="N33" s="41">
        <v>0</v>
      </c>
      <c r="O33" s="14">
        <v>0</v>
      </c>
    </row>
    <row r="34" spans="1:15" ht="18" x14ac:dyDescent="0.35">
      <c r="A34" s="14" t="s">
        <v>155</v>
      </c>
      <c r="B34" s="16" t="s">
        <v>156</v>
      </c>
      <c r="C34" s="14">
        <v>64797.58</v>
      </c>
      <c r="D34" s="14">
        <v>1446.81</v>
      </c>
      <c r="E34" s="17">
        <v>78326.247044498319</v>
      </c>
      <c r="F34" s="17">
        <v>2267.2373011983182</v>
      </c>
      <c r="G34" s="41">
        <f>G8+G27</f>
        <v>96159.440000000017</v>
      </c>
      <c r="H34" s="41">
        <f>G34/G42*1000</f>
        <v>2917.3702254179184</v>
      </c>
      <c r="I34" s="41">
        <f>I8+I27</f>
        <v>29715.61</v>
      </c>
      <c r="J34" s="41">
        <f>J8+J27</f>
        <v>4202.4621694244097</v>
      </c>
      <c r="K34" s="41">
        <v>980.82</v>
      </c>
      <c r="L34" s="41">
        <v>1446.81</v>
      </c>
      <c r="M34" s="41">
        <f>M8+M27</f>
        <v>3796.72</v>
      </c>
      <c r="N34" s="41">
        <f>N8+N27</f>
        <v>6853.2851985559564</v>
      </c>
      <c r="O34" s="14">
        <v>103127.37106018477</v>
      </c>
    </row>
    <row r="35" spans="1:15" ht="18" x14ac:dyDescent="0.35">
      <c r="A35" s="14" t="s">
        <v>157</v>
      </c>
      <c r="B35" s="16" t="s">
        <v>158</v>
      </c>
      <c r="C35" s="14"/>
      <c r="D35" s="14"/>
      <c r="E35" s="17">
        <v>0</v>
      </c>
      <c r="F35" s="17">
        <v>0</v>
      </c>
      <c r="G35" s="41">
        <v>0</v>
      </c>
      <c r="H35" s="41">
        <v>0</v>
      </c>
      <c r="I35" s="41">
        <v>0</v>
      </c>
      <c r="J35" s="41">
        <v>0</v>
      </c>
      <c r="K35" s="41"/>
      <c r="L35" s="41"/>
      <c r="M35" s="41">
        <v>0</v>
      </c>
      <c r="N35" s="41">
        <v>0</v>
      </c>
      <c r="O35" s="14">
        <v>0</v>
      </c>
    </row>
    <row r="36" spans="1:15" ht="18" x14ac:dyDescent="0.35">
      <c r="A36" s="14" t="s">
        <v>159</v>
      </c>
      <c r="B36" s="16" t="s">
        <v>160</v>
      </c>
      <c r="C36" s="14"/>
      <c r="D36" s="14"/>
      <c r="E36" s="17">
        <v>0</v>
      </c>
      <c r="F36" s="17">
        <v>0</v>
      </c>
      <c r="G36" s="41">
        <f>G37+G38+G39+G40</f>
        <v>3909.69</v>
      </c>
      <c r="H36" s="41">
        <f>G36/G42*1000</f>
        <v>118.61563666150906</v>
      </c>
      <c r="I36" s="41">
        <f>I37+I39+I40</f>
        <v>1269.56</v>
      </c>
      <c r="J36" s="41">
        <f>I36/I42*1000</f>
        <v>179.54461886578986</v>
      </c>
      <c r="K36" s="41">
        <v>98.09</v>
      </c>
      <c r="L36" s="41">
        <v>144.68</v>
      </c>
      <c r="M36" s="41">
        <f>M37+M39+M40</f>
        <v>169.16</v>
      </c>
      <c r="N36" s="41">
        <f>N37+N39+N40</f>
        <v>305.34296028880863</v>
      </c>
      <c r="O36" s="14">
        <v>0</v>
      </c>
    </row>
    <row r="37" spans="1:15" ht="18" x14ac:dyDescent="0.35">
      <c r="A37" s="14" t="s">
        <v>79</v>
      </c>
      <c r="B37" s="16" t="s">
        <v>80</v>
      </c>
      <c r="C37" s="14"/>
      <c r="D37" s="14"/>
      <c r="E37" s="17">
        <v>0</v>
      </c>
      <c r="F37" s="17">
        <v>0</v>
      </c>
      <c r="G37" s="41">
        <v>307.2</v>
      </c>
      <c r="H37" s="41">
        <f>G37/G42*1000</f>
        <v>9.3201055793210159</v>
      </c>
      <c r="I37" s="41">
        <v>99.69</v>
      </c>
      <c r="J37" s="41">
        <f>I37/I42*1000</f>
        <v>14.098430207891386</v>
      </c>
      <c r="K37" s="41">
        <v>17.649999999999999</v>
      </c>
      <c r="L37" s="41">
        <v>26.04</v>
      </c>
      <c r="M37" s="41">
        <v>13.36</v>
      </c>
      <c r="N37" s="41">
        <f>M37/M42*1000</f>
        <v>24.115523465703973</v>
      </c>
      <c r="O37" s="14">
        <v>0</v>
      </c>
    </row>
    <row r="38" spans="1:15" ht="18" x14ac:dyDescent="0.35">
      <c r="A38" s="14" t="s">
        <v>81</v>
      </c>
      <c r="B38" s="16" t="s">
        <v>161</v>
      </c>
      <c r="C38" s="14"/>
      <c r="D38" s="14"/>
      <c r="E38" s="17">
        <v>0</v>
      </c>
      <c r="F38" s="17">
        <v>0</v>
      </c>
      <c r="G38" s="41">
        <v>0</v>
      </c>
      <c r="H38" s="41">
        <v>0</v>
      </c>
      <c r="I38" s="41">
        <v>0</v>
      </c>
      <c r="J38" s="41">
        <v>0</v>
      </c>
      <c r="K38" s="41"/>
      <c r="L38" s="41"/>
      <c r="M38" s="41"/>
      <c r="N38" s="41">
        <f>M38/M42*1000</f>
        <v>0</v>
      </c>
      <c r="O38" s="14">
        <v>0</v>
      </c>
    </row>
    <row r="39" spans="1:15" ht="18" x14ac:dyDescent="0.35">
      <c r="A39" s="14" t="s">
        <v>83</v>
      </c>
      <c r="B39" s="16" t="s">
        <v>162</v>
      </c>
      <c r="C39" s="14"/>
      <c r="D39" s="14"/>
      <c r="E39" s="17">
        <v>0</v>
      </c>
      <c r="F39" s="17">
        <v>0</v>
      </c>
      <c r="G39" s="41">
        <v>1706.68</v>
      </c>
      <c r="H39" s="41">
        <f>G39/G42*1000</f>
        <v>51.77876884803252</v>
      </c>
      <c r="I39" s="41">
        <v>554.23</v>
      </c>
      <c r="J39" s="41">
        <f>I39/I42*1000</f>
        <v>78.380709942016694</v>
      </c>
      <c r="K39" s="41">
        <v>80.44</v>
      </c>
      <c r="L39" s="41">
        <v>118.64</v>
      </c>
      <c r="M39" s="41">
        <v>73.819999999999993</v>
      </c>
      <c r="N39" s="41">
        <f>M39/M42*1000</f>
        <v>133.24909747292418</v>
      </c>
      <c r="O39" s="14">
        <v>0</v>
      </c>
    </row>
    <row r="40" spans="1:15" ht="18" x14ac:dyDescent="0.35">
      <c r="A40" s="14" t="s">
        <v>85</v>
      </c>
      <c r="B40" s="16" t="s">
        <v>303</v>
      </c>
      <c r="C40" s="14"/>
      <c r="D40" s="14"/>
      <c r="E40" s="17">
        <v>0</v>
      </c>
      <c r="F40" s="17">
        <v>0</v>
      </c>
      <c r="G40" s="41">
        <v>1895.81</v>
      </c>
      <c r="H40" s="41">
        <v>0</v>
      </c>
      <c r="I40" s="41">
        <v>615.64</v>
      </c>
      <c r="J40" s="41">
        <f>I40/I42*1000</f>
        <v>87.065478715881767</v>
      </c>
      <c r="K40" s="41"/>
      <c r="L40" s="41"/>
      <c r="M40" s="41">
        <v>81.98</v>
      </c>
      <c r="N40" s="41">
        <f>M40/M42*1000</f>
        <v>147.97833935018051</v>
      </c>
      <c r="O40" s="14">
        <v>0</v>
      </c>
    </row>
    <row r="41" spans="1:15" ht="18" x14ac:dyDescent="0.35">
      <c r="A41" s="14" t="s">
        <v>163</v>
      </c>
      <c r="B41" s="16" t="s">
        <v>164</v>
      </c>
      <c r="C41" s="14">
        <v>64797.58</v>
      </c>
      <c r="D41" s="14">
        <v>1446.81</v>
      </c>
      <c r="E41" s="17">
        <v>78326.247044498319</v>
      </c>
      <c r="F41" s="17">
        <v>2267.2273011983179</v>
      </c>
      <c r="G41" s="41">
        <f>G34+G36</f>
        <v>100069.13000000002</v>
      </c>
      <c r="H41" s="41">
        <f>G41/G42*1000</f>
        <v>3035.985862079428</v>
      </c>
      <c r="I41" s="41">
        <f>I34+I36</f>
        <v>30985.170000000002</v>
      </c>
      <c r="J41" s="41">
        <f>J34+J36</f>
        <v>4382.0067882901994</v>
      </c>
      <c r="K41" s="41">
        <v>1078.9100000000001</v>
      </c>
      <c r="L41" s="41">
        <v>1591.49</v>
      </c>
      <c r="M41" s="41">
        <f>M34+M36</f>
        <v>3965.8799999999997</v>
      </c>
      <c r="N41" s="41">
        <f>N34+N36</f>
        <v>7158.6281588447655</v>
      </c>
      <c r="O41" s="14">
        <v>103127.37406018477</v>
      </c>
    </row>
    <row r="42" spans="1:15" ht="15.75" customHeight="1" x14ac:dyDescent="0.35">
      <c r="A42" s="14">
        <v>9</v>
      </c>
      <c r="B42" s="16" t="s">
        <v>174</v>
      </c>
      <c r="C42" s="14">
        <v>44786.45</v>
      </c>
      <c r="D42" s="14"/>
      <c r="E42" s="17">
        <v>34547</v>
      </c>
      <c r="F42" s="17">
        <v>0</v>
      </c>
      <c r="G42" s="41">
        <v>32961</v>
      </c>
      <c r="H42" s="41" t="s">
        <v>35</v>
      </c>
      <c r="I42" s="41">
        <v>7071</v>
      </c>
      <c r="J42" s="41" t="s">
        <v>35</v>
      </c>
      <c r="K42" s="41">
        <v>678</v>
      </c>
      <c r="L42" s="41"/>
      <c r="M42" s="41">
        <v>554</v>
      </c>
      <c r="N42" s="41" t="s">
        <v>35</v>
      </c>
      <c r="O42" s="14"/>
    </row>
    <row r="43" spans="1:15" ht="18" x14ac:dyDescent="0.35">
      <c r="A43" s="14">
        <v>10</v>
      </c>
      <c r="B43" s="16" t="s">
        <v>309</v>
      </c>
      <c r="C43" s="14"/>
      <c r="D43" s="14">
        <v>1446.81</v>
      </c>
      <c r="E43" s="17">
        <v>0</v>
      </c>
      <c r="F43" s="17">
        <v>2267.2273011983179</v>
      </c>
      <c r="G43" s="41" t="s">
        <v>35</v>
      </c>
      <c r="H43" s="42">
        <f>H41</f>
        <v>3035.985862079428</v>
      </c>
      <c r="I43" s="42" t="s">
        <v>35</v>
      </c>
      <c r="J43" s="42">
        <f>J41</f>
        <v>4382.0067882901994</v>
      </c>
      <c r="K43" s="42"/>
      <c r="L43" s="42">
        <v>1591.49</v>
      </c>
      <c r="M43" s="42" t="s">
        <v>35</v>
      </c>
      <c r="N43" s="42">
        <f>N41</f>
        <v>7158.6281588447655</v>
      </c>
      <c r="O43" s="14">
        <v>0</v>
      </c>
    </row>
    <row r="44" spans="1:15" ht="18" hidden="1" x14ac:dyDescent="0.35">
      <c r="A44" s="14" t="s">
        <v>165</v>
      </c>
      <c r="B44" s="16" t="s">
        <v>166</v>
      </c>
      <c r="C44" s="14"/>
      <c r="D44" s="14">
        <v>1110.27</v>
      </c>
      <c r="E44" s="17">
        <v>49907.870589102793</v>
      </c>
      <c r="F44" s="17">
        <v>1444.6368885605928</v>
      </c>
      <c r="G44" s="41">
        <v>49907.870589102793</v>
      </c>
      <c r="H44" s="42">
        <v>1444.6368885605928</v>
      </c>
      <c r="I44" s="42">
        <v>17172.550882001957</v>
      </c>
      <c r="J44" s="42">
        <v>2452.170624304149</v>
      </c>
      <c r="K44" s="42"/>
      <c r="L44" s="42">
        <v>1110.27</v>
      </c>
      <c r="M44" s="42">
        <v>1239.0273220193383</v>
      </c>
      <c r="N44" s="42">
        <v>2452.1730605982648</v>
      </c>
      <c r="O44" s="14">
        <v>68319.448793124087</v>
      </c>
    </row>
    <row r="45" spans="1:15" ht="18" hidden="1" x14ac:dyDescent="0.35">
      <c r="A45" s="14" t="s">
        <v>167</v>
      </c>
      <c r="B45" s="16" t="s">
        <v>168</v>
      </c>
      <c r="C45" s="14"/>
      <c r="D45" s="14">
        <v>336.54</v>
      </c>
      <c r="E45" s="17">
        <v>20773.532643727402</v>
      </c>
      <c r="F45" s="17">
        <v>822.60041263772598</v>
      </c>
      <c r="G45" s="41">
        <v>20773.532643727402</v>
      </c>
      <c r="H45" s="42">
        <v>822.60041263772598</v>
      </c>
      <c r="I45" s="42">
        <v>4409.8738832322088</v>
      </c>
      <c r="J45" s="42">
        <v>851.00031730375304</v>
      </c>
      <c r="K45" s="42"/>
      <c r="L45" s="42">
        <v>481.22</v>
      </c>
      <c r="M45" s="42">
        <v>318.18108253397389</v>
      </c>
      <c r="N45" s="42">
        <v>850.99568638936944</v>
      </c>
      <c r="O45" s="14">
        <v>25501.587609493585</v>
      </c>
    </row>
    <row r="46" spans="1:15" ht="18" hidden="1" x14ac:dyDescent="0.35">
      <c r="A46" s="14" t="s">
        <v>169</v>
      </c>
      <c r="B46" s="16" t="s">
        <v>170</v>
      </c>
      <c r="C46" s="14"/>
      <c r="D46" s="14">
        <v>76.739999999999995</v>
      </c>
      <c r="E46" s="17">
        <v>63.71793935275538</v>
      </c>
      <c r="F46" s="17">
        <v>63.718220391799527</v>
      </c>
      <c r="G46" s="41">
        <v>63.71793935275538</v>
      </c>
      <c r="H46" s="42">
        <v>63.718220391799527</v>
      </c>
      <c r="I46" s="42">
        <v>74.236867169535373</v>
      </c>
      <c r="J46" s="42">
        <v>74.236867169535373</v>
      </c>
      <c r="K46" s="42"/>
      <c r="L46" s="42">
        <v>69.760000000000005</v>
      </c>
      <c r="M46" s="42">
        <v>74.236776388072371</v>
      </c>
      <c r="N46" s="42">
        <v>74.236990248668178</v>
      </c>
      <c r="O46" s="14">
        <v>66.247637366634677</v>
      </c>
    </row>
    <row r="47" spans="1:15" ht="18" hidden="1" x14ac:dyDescent="0.35">
      <c r="A47" s="14" t="s">
        <v>171</v>
      </c>
      <c r="B47" s="16" t="s">
        <v>172</v>
      </c>
      <c r="C47" s="14"/>
      <c r="D47" s="14">
        <v>23.26</v>
      </c>
      <c r="E47" s="17">
        <v>36.28206064724462</v>
      </c>
      <c r="F47" s="17">
        <v>36.281779608200473</v>
      </c>
      <c r="G47" s="41">
        <v>36.28206064724462</v>
      </c>
      <c r="H47" s="42">
        <v>36.281779608200473</v>
      </c>
      <c r="I47" s="42">
        <v>25.763132830464627</v>
      </c>
      <c r="J47" s="42">
        <v>25.763132830464627</v>
      </c>
      <c r="K47" s="42"/>
      <c r="L47" s="42">
        <v>30.24</v>
      </c>
      <c r="M47" s="42">
        <v>25.763223611927629</v>
      </c>
      <c r="N47" s="42">
        <v>25.763009751331822</v>
      </c>
      <c r="O47" s="14">
        <v>33.752362633365323</v>
      </c>
    </row>
    <row r="48" spans="1:15" ht="18.75" hidden="1" customHeight="1" x14ac:dyDescent="0.35">
      <c r="A48" s="14" t="s">
        <v>173</v>
      </c>
      <c r="B48" s="16" t="s">
        <v>174</v>
      </c>
      <c r="C48" s="14">
        <v>44786.45</v>
      </c>
      <c r="D48" s="14"/>
      <c r="E48" s="17">
        <v>34547</v>
      </c>
      <c r="F48" s="17">
        <v>0</v>
      </c>
      <c r="G48" s="41">
        <v>34547</v>
      </c>
      <c r="H48" s="42">
        <v>0</v>
      </c>
      <c r="I48" s="42">
        <v>7003</v>
      </c>
      <c r="J48" s="42">
        <v>0</v>
      </c>
      <c r="K48" s="42">
        <v>678</v>
      </c>
      <c r="L48" s="42"/>
      <c r="M48" s="42">
        <v>505.27727505376345</v>
      </c>
      <c r="N48" s="42">
        <v>0</v>
      </c>
      <c r="O48" s="14">
        <v>42055.277275053762</v>
      </c>
    </row>
    <row r="49" spans="1:15" ht="18" hidden="1" x14ac:dyDescent="0.35">
      <c r="A49" s="14" t="s">
        <v>175</v>
      </c>
      <c r="B49" s="16" t="s">
        <v>176</v>
      </c>
      <c r="C49" s="14"/>
      <c r="D49" s="14"/>
      <c r="E49" s="17">
        <v>0</v>
      </c>
      <c r="F49" s="17">
        <v>2720.6827614379818</v>
      </c>
      <c r="G49" s="41">
        <v>0</v>
      </c>
      <c r="H49" s="42">
        <v>2720.6827614379818</v>
      </c>
      <c r="I49" s="42">
        <v>0</v>
      </c>
      <c r="J49" s="42">
        <v>0</v>
      </c>
      <c r="K49" s="42"/>
      <c r="L49" s="42"/>
      <c r="M49" s="42">
        <v>0</v>
      </c>
      <c r="N49" s="42">
        <v>0</v>
      </c>
      <c r="O49" s="14"/>
    </row>
    <row r="50" spans="1:15" ht="21" customHeight="1" x14ac:dyDescent="0.35">
      <c r="A50" s="19">
        <v>11</v>
      </c>
      <c r="B50" s="16" t="s">
        <v>177</v>
      </c>
      <c r="C50" s="14"/>
      <c r="D50" s="14">
        <v>1736.17</v>
      </c>
      <c r="E50" s="17">
        <v>0</v>
      </c>
      <c r="F50" s="17">
        <v>2720.6847614379822</v>
      </c>
      <c r="G50" s="41" t="s">
        <v>35</v>
      </c>
      <c r="H50" s="42">
        <f>H43*1.2</f>
        <v>3643.1830344953137</v>
      </c>
      <c r="I50" s="42" t="s">
        <v>35</v>
      </c>
      <c r="J50" s="42">
        <f>J41*1.2</f>
        <v>5258.4081459482395</v>
      </c>
      <c r="K50" s="42"/>
      <c r="L50" s="42">
        <v>1909.79</v>
      </c>
      <c r="M50" s="42" t="s">
        <v>35</v>
      </c>
      <c r="N50" s="42">
        <f>N41*1.2+0.01</f>
        <v>8590.3637906137192</v>
      </c>
      <c r="O50" s="14">
        <v>2942.633539558235</v>
      </c>
    </row>
    <row r="51" spans="1:15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8" hidden="1" x14ac:dyDescent="0.35">
      <c r="A52" s="66" t="s">
        <v>310</v>
      </c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15"/>
    </row>
    <row r="53" spans="1:15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ht="18" x14ac:dyDescent="0.35">
      <c r="A54" s="66" t="s">
        <v>315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20">
    <mergeCell ref="G4:H4"/>
    <mergeCell ref="G5:H5"/>
    <mergeCell ref="A54:N54"/>
    <mergeCell ref="A52:N52"/>
    <mergeCell ref="M1:O1"/>
    <mergeCell ref="F1:H1"/>
    <mergeCell ref="B4:B6"/>
    <mergeCell ref="A4:A6"/>
    <mergeCell ref="O4:O5"/>
    <mergeCell ref="A2:O2"/>
    <mergeCell ref="I4:J4"/>
    <mergeCell ref="I5:J5"/>
    <mergeCell ref="K4:L4"/>
    <mergeCell ref="K5:L5"/>
    <mergeCell ref="M4:N4"/>
    <mergeCell ref="M5:N5"/>
    <mergeCell ref="C4:D4"/>
    <mergeCell ref="C5:D5"/>
    <mergeCell ref="E5:F5"/>
    <mergeCell ref="E4:F4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5C02B-11F2-4BFB-89D9-B49DBC3A725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6297C-17FF-4AA7-9329-648A4B725B58}">
  <dimension ref="A1:P59"/>
  <sheetViews>
    <sheetView zoomScale="78" zoomScaleNormal="78" workbookViewId="0">
      <selection activeCell="T8" sqref="T8"/>
    </sheetView>
  </sheetViews>
  <sheetFormatPr defaultRowHeight="14.4" x14ac:dyDescent="0.3"/>
  <cols>
    <col min="1" max="1" width="7.109375" customWidth="1"/>
    <col min="2" max="2" width="82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7.21875" customWidth="1"/>
    <col min="15" max="15" width="0.21875" hidden="1" customWidth="1"/>
    <col min="16" max="16" width="8.6640625" hidden="1" customWidth="1"/>
  </cols>
  <sheetData>
    <row r="1" spans="1:16" ht="76.5" customHeight="1" x14ac:dyDescent="0.3">
      <c r="F1" s="72"/>
      <c r="G1" s="72"/>
      <c r="H1" s="72"/>
      <c r="M1" s="73" t="s">
        <v>316</v>
      </c>
      <c r="N1" s="73"/>
    </row>
    <row r="2" spans="1:16" ht="36.75" customHeight="1" x14ac:dyDescent="0.3">
      <c r="A2" s="74" t="s">
        <v>299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6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6" ht="15" customHeight="1" x14ac:dyDescent="0.3">
      <c r="A4" s="75" t="s">
        <v>323</v>
      </c>
      <c r="B4" s="67" t="s">
        <v>133</v>
      </c>
      <c r="C4" s="67" t="s">
        <v>290</v>
      </c>
      <c r="D4" s="67"/>
      <c r="E4" s="67" t="s">
        <v>291</v>
      </c>
      <c r="F4" s="67"/>
      <c r="G4" s="68" t="s">
        <v>300</v>
      </c>
      <c r="H4" s="69"/>
      <c r="I4" s="68" t="s">
        <v>307</v>
      </c>
      <c r="J4" s="69"/>
      <c r="K4" s="67" t="s">
        <v>290</v>
      </c>
      <c r="L4" s="67"/>
      <c r="M4" s="68" t="s">
        <v>308</v>
      </c>
      <c r="N4" s="69"/>
      <c r="O4" s="53"/>
      <c r="P4" s="53"/>
    </row>
    <row r="5" spans="1:16" ht="25.2" customHeight="1" x14ac:dyDescent="0.3">
      <c r="A5" s="75"/>
      <c r="B5" s="67"/>
      <c r="C5" s="67" t="s">
        <v>293</v>
      </c>
      <c r="D5" s="67"/>
      <c r="E5" s="67" t="s">
        <v>300</v>
      </c>
      <c r="F5" s="67"/>
      <c r="G5" s="70"/>
      <c r="H5" s="71"/>
      <c r="I5" s="70"/>
      <c r="J5" s="71"/>
      <c r="K5" s="67" t="s">
        <v>294</v>
      </c>
      <c r="L5" s="67"/>
      <c r="M5" s="70"/>
      <c r="N5" s="71"/>
      <c r="O5" s="53"/>
      <c r="P5" s="53"/>
    </row>
    <row r="6" spans="1:16" ht="17.25" customHeight="1" x14ac:dyDescent="0.35">
      <c r="A6" s="75"/>
      <c r="B6" s="67"/>
      <c r="C6" s="54" t="s">
        <v>135</v>
      </c>
      <c r="D6" s="54" t="s">
        <v>134</v>
      </c>
      <c r="E6" s="54" t="s">
        <v>135</v>
      </c>
      <c r="F6" s="54" t="s">
        <v>134</v>
      </c>
      <c r="G6" s="55" t="s">
        <v>313</v>
      </c>
      <c r="H6" s="54" t="s">
        <v>357</v>
      </c>
      <c r="I6" s="54" t="s">
        <v>313</v>
      </c>
      <c r="J6" s="54" t="s">
        <v>357</v>
      </c>
      <c r="K6" s="54" t="s">
        <v>135</v>
      </c>
      <c r="L6" s="54" t="s">
        <v>134</v>
      </c>
      <c r="M6" s="54" t="s">
        <v>313</v>
      </c>
      <c r="N6" s="54" t="s">
        <v>357</v>
      </c>
      <c r="O6" s="53"/>
      <c r="P6" s="53"/>
    </row>
    <row r="7" spans="1:16" ht="18" hidden="1" x14ac:dyDescent="0.35">
      <c r="A7" s="56">
        <v>1</v>
      </c>
      <c r="B7" s="56">
        <v>2</v>
      </c>
      <c r="C7" s="56"/>
      <c r="D7" s="56"/>
      <c r="E7" s="56">
        <v>3</v>
      </c>
      <c r="F7" s="56">
        <v>4</v>
      </c>
      <c r="G7" s="56">
        <v>3</v>
      </c>
      <c r="H7" s="56">
        <v>4</v>
      </c>
      <c r="I7" s="56">
        <v>5</v>
      </c>
      <c r="J7" s="56">
        <v>6</v>
      </c>
      <c r="K7" s="56"/>
      <c r="L7" s="56"/>
      <c r="M7" s="56">
        <v>7</v>
      </c>
      <c r="N7" s="56">
        <v>8</v>
      </c>
      <c r="O7" s="53"/>
      <c r="P7" s="53"/>
    </row>
    <row r="8" spans="1:16" ht="18" x14ac:dyDescent="0.35">
      <c r="A8" s="57">
        <v>1</v>
      </c>
      <c r="B8" s="58" t="s">
        <v>32</v>
      </c>
      <c r="C8" s="59">
        <v>62929.02</v>
      </c>
      <c r="D8" s="59">
        <v>1405.09</v>
      </c>
      <c r="E8" s="43">
        <v>74236.266320820505</v>
      </c>
      <c r="F8" s="43">
        <v>2148.8484186997571</v>
      </c>
      <c r="G8" s="43">
        <f>G9+G18+G19+G22</f>
        <v>108061.09</v>
      </c>
      <c r="H8" s="43">
        <f>H9+H18+H19+H22+0.01</f>
        <v>2928.2375485048779</v>
      </c>
      <c r="I8" s="43">
        <f>I9+I18+I19+I22</f>
        <v>46574.85</v>
      </c>
      <c r="J8" s="43">
        <f>J9+J18+J19+J22</f>
        <v>4883.1195325705521</v>
      </c>
      <c r="K8" s="43">
        <v>952.54</v>
      </c>
      <c r="L8" s="43">
        <v>1405.09</v>
      </c>
      <c r="M8" s="43">
        <f>M9+M18+M19+M22</f>
        <v>3990.16</v>
      </c>
      <c r="N8" s="43">
        <f>N9+N18+N19+N22+0.01</f>
        <v>5719.7474576052509</v>
      </c>
      <c r="O8" s="60">
        <f>G8+I8+M8</f>
        <v>158626.1</v>
      </c>
      <c r="P8" s="53">
        <f>O8/O40*1000</f>
        <v>3365.1063642020085</v>
      </c>
    </row>
    <row r="9" spans="1:16" ht="18" x14ac:dyDescent="0.35">
      <c r="A9" s="57" t="s">
        <v>36</v>
      </c>
      <c r="B9" s="58" t="s">
        <v>37</v>
      </c>
      <c r="C9" s="59">
        <v>52895.94</v>
      </c>
      <c r="D9" s="59">
        <v>1181.07</v>
      </c>
      <c r="E9" s="43">
        <v>53618.754370763585</v>
      </c>
      <c r="F9" s="43">
        <v>1552.0524031251218</v>
      </c>
      <c r="G9" s="43">
        <f>G10+G12+G16+G17+G11</f>
        <v>72585.8</v>
      </c>
      <c r="H9" s="43">
        <f>H10+H12+H16+H17+H11+0.01</f>
        <v>1966.925470540463</v>
      </c>
      <c r="I9" s="43">
        <f>I10+I12+I16+I17+I11</f>
        <v>37405.94</v>
      </c>
      <c r="J9" s="43">
        <f>J10+J12+J16+J17+J11</f>
        <v>3921.807253465382</v>
      </c>
      <c r="K9" s="43">
        <v>800.76</v>
      </c>
      <c r="L9" s="43">
        <v>1181.07</v>
      </c>
      <c r="M9" s="43">
        <f>M10+M12+M16+M17+M11</f>
        <v>3319.54</v>
      </c>
      <c r="N9" s="43">
        <f>N10+N12+N16+N17+N11-0.01</f>
        <v>4758.4366965783165</v>
      </c>
      <c r="O9" s="43">
        <f t="shared" ref="O9" si="0">O10+O16+O17+O11+O12</f>
        <v>113311.28</v>
      </c>
      <c r="P9" s="53">
        <f>O9/O40*1000</f>
        <v>2403.7942650287418</v>
      </c>
    </row>
    <row r="10" spans="1:16" ht="18.75" customHeight="1" x14ac:dyDescent="0.35">
      <c r="A10" s="57" t="s">
        <v>39</v>
      </c>
      <c r="B10" s="58" t="s">
        <v>138</v>
      </c>
      <c r="C10" s="59">
        <v>49725.05</v>
      </c>
      <c r="D10" s="59">
        <v>1110.27</v>
      </c>
      <c r="E10" s="43">
        <v>49907.870589102793</v>
      </c>
      <c r="F10" s="43">
        <v>1444.6368885605928</v>
      </c>
      <c r="G10" s="43">
        <v>48719.17</v>
      </c>
      <c r="H10" s="43">
        <f>G10/G40*1000-0.01</f>
        <v>1320.1857348171518</v>
      </c>
      <c r="I10" s="43">
        <v>31783.16</v>
      </c>
      <c r="J10" s="43">
        <f>I10/I40*1000</f>
        <v>3332.2981659504021</v>
      </c>
      <c r="K10" s="43">
        <v>752.76</v>
      </c>
      <c r="L10" s="43">
        <v>1110.27</v>
      </c>
      <c r="M10" s="43">
        <v>2839.75</v>
      </c>
      <c r="N10" s="43">
        <f>M10/M40*1000+0.01</f>
        <v>4070.6941931738361</v>
      </c>
      <c r="O10" s="60">
        <f t="shared" ref="O10:O40" si="1">G10+I10+M10</f>
        <v>83342.080000000002</v>
      </c>
      <c r="P10" s="53">
        <f>O10/O40*1000</f>
        <v>1768.0253363969291</v>
      </c>
    </row>
    <row r="11" spans="1:16" ht="18.75" customHeight="1" x14ac:dyDescent="0.35">
      <c r="A11" s="61" t="s">
        <v>41</v>
      </c>
      <c r="B11" s="58" t="s">
        <v>365</v>
      </c>
      <c r="C11" s="59"/>
      <c r="D11" s="59"/>
      <c r="E11" s="43"/>
      <c r="F11" s="43"/>
      <c r="G11" s="43">
        <v>5055.92</v>
      </c>
      <c r="H11" s="43">
        <f>G11/G40*1000</f>
        <v>137.00570062209053</v>
      </c>
      <c r="I11" s="43">
        <v>760.98</v>
      </c>
      <c r="J11" s="43">
        <f>I11/I40*1000</f>
        <v>79.784774651889137</v>
      </c>
      <c r="K11" s="43"/>
      <c r="L11" s="43"/>
      <c r="M11" s="43">
        <v>124.19</v>
      </c>
      <c r="N11" s="43">
        <f>M11/M40*1000</f>
        <v>178.02210404093978</v>
      </c>
      <c r="O11" s="60">
        <f t="shared" si="1"/>
        <v>5941.0899999999992</v>
      </c>
      <c r="P11" s="53">
        <f>O11/O40*1000</f>
        <v>126.03474314313287</v>
      </c>
    </row>
    <row r="12" spans="1:16" ht="19.5" customHeight="1" x14ac:dyDescent="0.35">
      <c r="A12" s="61" t="s">
        <v>43</v>
      </c>
      <c r="B12" s="58" t="s">
        <v>139</v>
      </c>
      <c r="C12" s="59">
        <v>2922.32</v>
      </c>
      <c r="D12" s="59">
        <v>65.25</v>
      </c>
      <c r="E12" s="43">
        <v>3494.3465336017216</v>
      </c>
      <c r="F12" s="43">
        <v>101.14761147427335</v>
      </c>
      <c r="G12" s="43">
        <v>13207.19</v>
      </c>
      <c r="H12" s="43">
        <f>G12/G40*1000</f>
        <v>357.8894284717851</v>
      </c>
      <c r="I12" s="43">
        <v>3413.52</v>
      </c>
      <c r="J12" s="43">
        <f>I12/I40*1000</f>
        <v>357.88972636562937</v>
      </c>
      <c r="K12" s="43">
        <v>44.24</v>
      </c>
      <c r="L12" s="43">
        <v>65.25</v>
      </c>
      <c r="M12" s="43">
        <v>249.67</v>
      </c>
      <c r="N12" s="43">
        <f>M12/M40*1000</f>
        <v>357.89337882197788</v>
      </c>
      <c r="O12" s="60">
        <f t="shared" si="1"/>
        <v>16870.379999999997</v>
      </c>
      <c r="P12" s="53">
        <f>O12/O40*1000</f>
        <v>357.88954720885317</v>
      </c>
    </row>
    <row r="13" spans="1:16" ht="18" hidden="1" x14ac:dyDescent="0.35">
      <c r="A13" s="61" t="s">
        <v>43</v>
      </c>
      <c r="B13" s="58" t="s">
        <v>140</v>
      </c>
      <c r="C13" s="59"/>
      <c r="D13" s="59"/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3"/>
      <c r="L13" s="43"/>
      <c r="M13" s="43">
        <v>0</v>
      </c>
      <c r="N13" s="43">
        <v>0</v>
      </c>
      <c r="O13" s="60">
        <f t="shared" si="1"/>
        <v>0</v>
      </c>
      <c r="P13" s="53" t="e">
        <f t="shared" ref="P13:P15" si="2">O13/O42*1000</f>
        <v>#DIV/0!</v>
      </c>
    </row>
    <row r="14" spans="1:16" ht="36" hidden="1" x14ac:dyDescent="0.35">
      <c r="A14" s="61" t="s">
        <v>141</v>
      </c>
      <c r="B14" s="58" t="s">
        <v>142</v>
      </c>
      <c r="C14" s="59"/>
      <c r="D14" s="59"/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/>
      <c r="L14" s="43"/>
      <c r="M14" s="43">
        <v>0</v>
      </c>
      <c r="N14" s="43">
        <v>0</v>
      </c>
      <c r="O14" s="60">
        <f t="shared" si="1"/>
        <v>0</v>
      </c>
      <c r="P14" s="53" t="e">
        <f t="shared" si="2"/>
        <v>#DIV/0!</v>
      </c>
    </row>
    <row r="15" spans="1:16" ht="18" hidden="1" x14ac:dyDescent="0.35">
      <c r="A15" s="61" t="s">
        <v>45</v>
      </c>
      <c r="B15" s="58" t="s">
        <v>143</v>
      </c>
      <c r="C15" s="59"/>
      <c r="D15" s="59"/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/>
      <c r="L15" s="43"/>
      <c r="M15" s="43">
        <v>0</v>
      </c>
      <c r="N15" s="43">
        <v>0</v>
      </c>
      <c r="O15" s="60">
        <f t="shared" si="1"/>
        <v>0</v>
      </c>
      <c r="P15" s="53" t="e">
        <f t="shared" si="2"/>
        <v>#DIV/0!</v>
      </c>
    </row>
    <row r="16" spans="1:16" ht="18" x14ac:dyDescent="0.35">
      <c r="A16" s="61" t="s">
        <v>45</v>
      </c>
      <c r="B16" s="58" t="s">
        <v>46</v>
      </c>
      <c r="C16" s="59">
        <v>110.79</v>
      </c>
      <c r="D16" s="59">
        <v>2.4700000000000002</v>
      </c>
      <c r="E16" s="43">
        <v>109.42068458420637</v>
      </c>
      <c r="F16" s="43">
        <v>3.1672991745797425</v>
      </c>
      <c r="G16" s="43">
        <v>63.31</v>
      </c>
      <c r="H16" s="43">
        <f>G16/G40*1000-0.01</f>
        <v>1.7055791441289718</v>
      </c>
      <c r="I16" s="43">
        <v>16.36</v>
      </c>
      <c r="J16" s="43">
        <f>I16/I40*1000-0.01</f>
        <v>1.7052604711094987</v>
      </c>
      <c r="K16" s="43">
        <v>1.67</v>
      </c>
      <c r="L16" s="43">
        <v>2.4700000000000002</v>
      </c>
      <c r="M16" s="43">
        <v>1.2</v>
      </c>
      <c r="N16" s="43">
        <f>M16/M40*1000-0.01</f>
        <v>1.7101588279984516</v>
      </c>
      <c r="O16" s="60">
        <f t="shared" si="1"/>
        <v>80.87</v>
      </c>
      <c r="P16" s="53">
        <f>O16/O40*1000</f>
        <v>1.715582439920142</v>
      </c>
    </row>
    <row r="17" spans="1:16" ht="18" customHeight="1" x14ac:dyDescent="0.35">
      <c r="A17" s="61" t="s">
        <v>47</v>
      </c>
      <c r="B17" s="58" t="s">
        <v>144</v>
      </c>
      <c r="C17" s="59">
        <v>137.78</v>
      </c>
      <c r="D17" s="59">
        <v>3.08</v>
      </c>
      <c r="E17" s="43">
        <v>164.28241521803835</v>
      </c>
      <c r="F17" s="43">
        <v>4.7553308599310604</v>
      </c>
      <c r="G17" s="43">
        <v>5540.21</v>
      </c>
      <c r="H17" s="43">
        <f>G17/G40*1000</f>
        <v>150.12902748530678</v>
      </c>
      <c r="I17" s="43">
        <v>1431.92</v>
      </c>
      <c r="J17" s="43">
        <f>I17/I40*1000</f>
        <v>150.12932602635172</v>
      </c>
      <c r="K17" s="43">
        <v>2.09</v>
      </c>
      <c r="L17" s="43">
        <v>3.08</v>
      </c>
      <c r="M17" s="43">
        <v>104.73</v>
      </c>
      <c r="N17" s="43">
        <f>M17/M40*1000</f>
        <v>150.12686171356489</v>
      </c>
      <c r="O17" s="60">
        <f t="shared" si="1"/>
        <v>7076.86</v>
      </c>
      <c r="P17" s="53">
        <f>O17/O40*1000</f>
        <v>150.1290558399067</v>
      </c>
    </row>
    <row r="18" spans="1:16" ht="24" customHeight="1" x14ac:dyDescent="0.35">
      <c r="A18" s="61" t="s">
        <v>49</v>
      </c>
      <c r="B18" s="58" t="s">
        <v>145</v>
      </c>
      <c r="C18" s="59">
        <v>5240.01</v>
      </c>
      <c r="D18" s="59">
        <v>117</v>
      </c>
      <c r="E18" s="43">
        <v>8034.1019561128678</v>
      </c>
      <c r="F18" s="43">
        <v>232.5557054480235</v>
      </c>
      <c r="G18" s="43">
        <v>11027.17</v>
      </c>
      <c r="H18" s="43">
        <f>G18/G40*1000-0.01</f>
        <v>298.80508246350774</v>
      </c>
      <c r="I18" s="43">
        <v>2850.07</v>
      </c>
      <c r="J18" s="43">
        <f>I18/I40*1000</f>
        <v>298.81493954126222</v>
      </c>
      <c r="K18" s="43">
        <v>79.23</v>
      </c>
      <c r="L18" s="43">
        <v>117</v>
      </c>
      <c r="M18" s="43">
        <v>208.46</v>
      </c>
      <c r="N18" s="43">
        <f>M18/M40*1000-0.01</f>
        <v>298.81025773713105</v>
      </c>
      <c r="O18" s="60">
        <f t="shared" si="1"/>
        <v>14085.699999999999</v>
      </c>
      <c r="P18" s="53">
        <f>O18/O40*1000</f>
        <v>298.81513013457578</v>
      </c>
    </row>
    <row r="19" spans="1:16" ht="18" x14ac:dyDescent="0.35">
      <c r="A19" s="57" t="s">
        <v>51</v>
      </c>
      <c r="B19" s="58" t="s">
        <v>52</v>
      </c>
      <c r="C19" s="59">
        <v>1142.56</v>
      </c>
      <c r="D19" s="59">
        <v>25.51</v>
      </c>
      <c r="E19" s="43">
        <v>4176.7628483106555</v>
      </c>
      <c r="F19" s="43">
        <v>120.90088425364449</v>
      </c>
      <c r="G19" s="43">
        <f>G20+G21</f>
        <v>6435.9</v>
      </c>
      <c r="H19" s="43">
        <f>G19/G40*1000</f>
        <v>174.40050250670743</v>
      </c>
      <c r="I19" s="43">
        <f>I20+I21</f>
        <v>1663.4199999999998</v>
      </c>
      <c r="J19" s="43">
        <f>J20+J21</f>
        <v>174.40089076118355</v>
      </c>
      <c r="K19" s="43">
        <v>17.29</v>
      </c>
      <c r="L19" s="43">
        <v>25.51</v>
      </c>
      <c r="M19" s="43">
        <f>M20+M21</f>
        <v>121.66</v>
      </c>
      <c r="N19" s="43">
        <f>N20+N21</f>
        <v>174.39543584524301</v>
      </c>
      <c r="O19" s="60">
        <f t="shared" si="1"/>
        <v>8220.98</v>
      </c>
      <c r="P19" s="53">
        <f>O19/O40*1000</f>
        <v>174.40050608303065</v>
      </c>
    </row>
    <row r="20" spans="1:16" ht="18" x14ac:dyDescent="0.35">
      <c r="A20" s="57" t="s">
        <v>53</v>
      </c>
      <c r="B20" s="58" t="s">
        <v>56</v>
      </c>
      <c r="C20" s="59">
        <v>806.66</v>
      </c>
      <c r="D20" s="59">
        <v>18.010000000000002</v>
      </c>
      <c r="E20" s="43">
        <v>2947.4758968707151</v>
      </c>
      <c r="F20" s="43">
        <v>85.317853847532788</v>
      </c>
      <c r="G20" s="43">
        <v>4849.28</v>
      </c>
      <c r="H20" s="43">
        <f>G20/G40*1000</f>
        <v>131.40615435226252</v>
      </c>
      <c r="I20" s="43">
        <v>1253.3399999999999</v>
      </c>
      <c r="J20" s="43">
        <f>I20/I40*1000</f>
        <v>131.40614662960755</v>
      </c>
      <c r="K20" s="43">
        <v>12.21</v>
      </c>
      <c r="L20" s="43">
        <v>18.010000000000002</v>
      </c>
      <c r="M20" s="43">
        <v>91.67</v>
      </c>
      <c r="N20" s="43">
        <f>M20/M40*1000</f>
        <v>131.40579980218172</v>
      </c>
      <c r="O20" s="60">
        <f t="shared" si="1"/>
        <v>6194.29</v>
      </c>
      <c r="P20" s="53">
        <f>O20/O40*1000</f>
        <v>131.40614754263555</v>
      </c>
    </row>
    <row r="21" spans="1:16" ht="18" x14ac:dyDescent="0.35">
      <c r="A21" s="57" t="s">
        <v>55</v>
      </c>
      <c r="B21" s="58" t="s">
        <v>311</v>
      </c>
      <c r="C21" s="59">
        <v>335.9</v>
      </c>
      <c r="D21" s="59">
        <v>7.5</v>
      </c>
      <c r="E21" s="43">
        <v>1229.286951439941</v>
      </c>
      <c r="F21" s="43">
        <v>35.583030406111703</v>
      </c>
      <c r="G21" s="43">
        <v>1586.62</v>
      </c>
      <c r="H21" s="43">
        <f>G21/G40*1000</f>
        <v>42.994348154444936</v>
      </c>
      <c r="I21" s="43">
        <v>410.08</v>
      </c>
      <c r="J21" s="43">
        <f>I21/I40*1000</f>
        <v>42.994744131575992</v>
      </c>
      <c r="K21" s="43">
        <v>5.08</v>
      </c>
      <c r="L21" s="43">
        <v>7.5</v>
      </c>
      <c r="M21" s="43">
        <v>29.99</v>
      </c>
      <c r="N21" s="43">
        <f>M21/M40*1000</f>
        <v>42.98963604306131</v>
      </c>
      <c r="O21" s="60">
        <f t="shared" si="1"/>
        <v>2026.6899999999998</v>
      </c>
      <c r="P21" s="53">
        <f>O21/O40*1000</f>
        <v>42.994358540395105</v>
      </c>
    </row>
    <row r="22" spans="1:16" ht="18" x14ac:dyDescent="0.35">
      <c r="A22" s="57" t="s">
        <v>59</v>
      </c>
      <c r="B22" s="58" t="s">
        <v>60</v>
      </c>
      <c r="C22" s="59">
        <v>3650.51</v>
      </c>
      <c r="D22" s="59">
        <v>81.510000000000005</v>
      </c>
      <c r="E22" s="43">
        <v>8406.6471456333948</v>
      </c>
      <c r="F22" s="43">
        <v>243.33942587296713</v>
      </c>
      <c r="G22" s="43">
        <f>G23+G24</f>
        <v>18012.22</v>
      </c>
      <c r="H22" s="43">
        <f>G22/G40*1000</f>
        <v>488.09649299419914</v>
      </c>
      <c r="I22" s="43">
        <f>I23+I24</f>
        <v>4655.42</v>
      </c>
      <c r="J22" s="43">
        <f>J23+J24</f>
        <v>488.09644880272515</v>
      </c>
      <c r="K22" s="43">
        <v>55.26</v>
      </c>
      <c r="L22" s="43">
        <v>81.510000000000005</v>
      </c>
      <c r="M22" s="43">
        <f>M23+M24</f>
        <v>340.5</v>
      </c>
      <c r="N22" s="43">
        <f>N23+N24-0.01</f>
        <v>488.09506744456064</v>
      </c>
      <c r="O22" s="60">
        <f t="shared" si="1"/>
        <v>23008.14</v>
      </c>
      <c r="P22" s="53">
        <f>O22/O40*1000</f>
        <v>488.09646295565983</v>
      </c>
    </row>
    <row r="23" spans="1:16" ht="20.25" customHeight="1" x14ac:dyDescent="0.35">
      <c r="A23" s="57" t="s">
        <v>61</v>
      </c>
      <c r="B23" s="58" t="s">
        <v>148</v>
      </c>
      <c r="C23" s="59">
        <v>3321.11</v>
      </c>
      <c r="D23" s="59">
        <v>74.150000000000006</v>
      </c>
      <c r="E23" s="43">
        <v>7303.0470979519923</v>
      </c>
      <c r="F23" s="43">
        <v>211.39453781665532</v>
      </c>
      <c r="G23" s="43">
        <v>14527.88</v>
      </c>
      <c r="H23" s="43">
        <f>G23/G40*1000</f>
        <v>393.67758547478132</v>
      </c>
      <c r="I23" s="43">
        <v>3754.86</v>
      </c>
      <c r="J23" s="43">
        <f>I23/I40*1000</f>
        <v>393.67744086492746</v>
      </c>
      <c r="K23" s="43">
        <v>50.27</v>
      </c>
      <c r="L23" s="43">
        <v>74.150000000000006</v>
      </c>
      <c r="M23" s="43">
        <v>274.63</v>
      </c>
      <c r="N23" s="43">
        <f>M23/M40*1000+0.01</f>
        <v>393.68268244434563</v>
      </c>
      <c r="O23" s="60">
        <f t="shared" si="1"/>
        <v>18557.37</v>
      </c>
      <c r="P23" s="53">
        <f>O23/O40*1000</f>
        <v>393.67748365402304</v>
      </c>
    </row>
    <row r="24" spans="1:16" ht="18" x14ac:dyDescent="0.35">
      <c r="A24" s="57" t="s">
        <v>63</v>
      </c>
      <c r="B24" s="58" t="s">
        <v>65</v>
      </c>
      <c r="C24" s="59">
        <v>329.4</v>
      </c>
      <c r="D24" s="59">
        <v>7.36</v>
      </c>
      <c r="E24" s="43">
        <v>1103.6000476814036</v>
      </c>
      <c r="F24" s="43">
        <v>31.944888056311797</v>
      </c>
      <c r="G24" s="43">
        <v>3484.34</v>
      </c>
      <c r="H24" s="43">
        <f>G24/G40*1000</f>
        <v>94.418907519417814</v>
      </c>
      <c r="I24" s="43">
        <v>900.56</v>
      </c>
      <c r="J24" s="43">
        <f>I24/I40*1000</f>
        <v>94.419007937797687</v>
      </c>
      <c r="K24" s="43">
        <v>4.99</v>
      </c>
      <c r="L24" s="43">
        <v>7.36</v>
      </c>
      <c r="M24" s="43">
        <v>65.87</v>
      </c>
      <c r="N24" s="43">
        <f>M24/M40*1000</f>
        <v>94.422385000215016</v>
      </c>
      <c r="O24" s="60">
        <f t="shared" si="1"/>
        <v>4450.7699999999995</v>
      </c>
      <c r="P24" s="53">
        <f>O24/O40*1000</f>
        <v>94.41897930163681</v>
      </c>
    </row>
    <row r="25" spans="1:16" ht="18" x14ac:dyDescent="0.35">
      <c r="A25" s="57" t="s">
        <v>149</v>
      </c>
      <c r="B25" s="58" t="s">
        <v>66</v>
      </c>
      <c r="C25" s="59">
        <v>1821.53</v>
      </c>
      <c r="D25" s="59">
        <v>40.67</v>
      </c>
      <c r="E25" s="43">
        <v>4089.9807236778006</v>
      </c>
      <c r="F25" s="43">
        <v>118.38888249856139</v>
      </c>
      <c r="G25" s="43">
        <f>G26+G27</f>
        <v>7360.17</v>
      </c>
      <c r="H25" s="43">
        <f>H26+H27</f>
        <v>199.43644051877641</v>
      </c>
      <c r="I25" s="43">
        <f>I26+I27</f>
        <v>1902.3</v>
      </c>
      <c r="J25" s="43">
        <f>J26+J27</f>
        <v>199.43620991391197</v>
      </c>
      <c r="K25" s="43">
        <v>27.57</v>
      </c>
      <c r="L25" s="43">
        <v>40.67</v>
      </c>
      <c r="M25" s="43">
        <f>M26+M27</f>
        <v>139.13999999999999</v>
      </c>
      <c r="N25" s="43">
        <f>N26+N27+0.01</f>
        <v>199.4424161064205</v>
      </c>
      <c r="O25" s="60">
        <f t="shared" si="1"/>
        <v>9401.6099999999988</v>
      </c>
      <c r="P25" s="53">
        <f>O25/O40*1000</f>
        <v>199.44648229229136</v>
      </c>
    </row>
    <row r="26" spans="1:16" ht="16.5" customHeight="1" x14ac:dyDescent="0.35">
      <c r="A26" s="57" t="s">
        <v>67</v>
      </c>
      <c r="B26" s="58" t="s">
        <v>148</v>
      </c>
      <c r="C26" s="59">
        <v>1705.92</v>
      </c>
      <c r="D26" s="59">
        <v>38.090000000000003</v>
      </c>
      <c r="E26" s="43">
        <v>3425.2107122297944</v>
      </c>
      <c r="F26" s="43">
        <v>99.146400909769127</v>
      </c>
      <c r="G26" s="43">
        <v>5974.26</v>
      </c>
      <c r="H26" s="43">
        <f>G26/G40*1000</f>
        <v>161.89094704792214</v>
      </c>
      <c r="I26" s="43">
        <v>1544.1</v>
      </c>
      <c r="J26" s="43">
        <f>I26/I40*1000</f>
        <v>161.89081255746805</v>
      </c>
      <c r="K26" s="43">
        <v>25.82</v>
      </c>
      <c r="L26" s="43">
        <v>38.090000000000003</v>
      </c>
      <c r="M26" s="43">
        <v>112.94</v>
      </c>
      <c r="N26" s="43">
        <f>M26/M40*1000-0.01</f>
        <v>161.88561502845431</v>
      </c>
      <c r="O26" s="60">
        <f t="shared" si="1"/>
        <v>7631.3</v>
      </c>
      <c r="P26" s="53">
        <f>O26/O40*1000</f>
        <v>161.89098891755384</v>
      </c>
    </row>
    <row r="27" spans="1:16" ht="18" x14ac:dyDescent="0.35">
      <c r="A27" s="57" t="s">
        <v>68</v>
      </c>
      <c r="B27" s="58" t="s">
        <v>65</v>
      </c>
      <c r="C27" s="59">
        <v>115.61</v>
      </c>
      <c r="D27" s="59">
        <v>2.58</v>
      </c>
      <c r="E27" s="43">
        <v>664.7700114480067</v>
      </c>
      <c r="F27" s="43">
        <v>19.242481588792273</v>
      </c>
      <c r="G27" s="43">
        <v>1385.91</v>
      </c>
      <c r="H27" s="43">
        <f>G27/G40*1000-0.01</f>
        <v>37.545493470854261</v>
      </c>
      <c r="I27" s="43">
        <v>358.2</v>
      </c>
      <c r="J27" s="43">
        <f>I27/I40*1000-0.01</f>
        <v>37.545397356443914</v>
      </c>
      <c r="K27" s="43">
        <v>1.75</v>
      </c>
      <c r="L27" s="43">
        <v>2.58</v>
      </c>
      <c r="M27" s="43">
        <v>26.2</v>
      </c>
      <c r="N27" s="43">
        <f>M27/M40*1000-0.01</f>
        <v>37.546801077966201</v>
      </c>
      <c r="O27" s="60">
        <f t="shared" si="1"/>
        <v>1770.3100000000002</v>
      </c>
      <c r="P27" s="53">
        <f>O27/O40*1000</f>
        <v>37.555493374737566</v>
      </c>
    </row>
    <row r="28" spans="1:16" ht="18" x14ac:dyDescent="0.35">
      <c r="A28" s="57" t="s">
        <v>151</v>
      </c>
      <c r="B28" s="58" t="s">
        <v>71</v>
      </c>
      <c r="C28" s="59">
        <v>47.03</v>
      </c>
      <c r="D28" s="59">
        <v>1.05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0.71</v>
      </c>
      <c r="L28" s="43">
        <v>1.05</v>
      </c>
      <c r="M28" s="43">
        <v>0</v>
      </c>
      <c r="N28" s="43">
        <v>0</v>
      </c>
      <c r="O28" s="60">
        <f t="shared" si="1"/>
        <v>0</v>
      </c>
      <c r="P28" s="53">
        <f>O28/O40*1000</f>
        <v>0</v>
      </c>
    </row>
    <row r="29" spans="1:16" ht="22.5" customHeight="1" x14ac:dyDescent="0.35">
      <c r="A29" s="57" t="s">
        <v>72</v>
      </c>
      <c r="B29" s="58" t="s">
        <v>148</v>
      </c>
      <c r="C29" s="59">
        <v>44.79</v>
      </c>
      <c r="D29" s="59">
        <v>1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0.68</v>
      </c>
      <c r="L29" s="43">
        <v>1</v>
      </c>
      <c r="M29" s="43">
        <v>0</v>
      </c>
      <c r="N29" s="43">
        <v>0</v>
      </c>
      <c r="O29" s="60">
        <f t="shared" si="1"/>
        <v>0</v>
      </c>
      <c r="P29" s="53">
        <f>O29/O40*1000</f>
        <v>0</v>
      </c>
    </row>
    <row r="30" spans="1:16" ht="18" x14ac:dyDescent="0.35">
      <c r="A30" s="57" t="s">
        <v>73</v>
      </c>
      <c r="B30" s="58" t="s">
        <v>65</v>
      </c>
      <c r="C30" s="59">
        <v>2.2400000000000002</v>
      </c>
      <c r="D30" s="59">
        <v>0.05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0.03</v>
      </c>
      <c r="L30" s="43">
        <v>0.05</v>
      </c>
      <c r="M30" s="43">
        <v>0</v>
      </c>
      <c r="N30" s="43">
        <v>0</v>
      </c>
      <c r="O30" s="60">
        <f t="shared" si="1"/>
        <v>0</v>
      </c>
      <c r="P30" s="53">
        <f>O30/O40*1000</f>
        <v>0</v>
      </c>
    </row>
    <row r="31" spans="1:16" ht="18" x14ac:dyDescent="0.35">
      <c r="A31" s="57" t="s">
        <v>153</v>
      </c>
      <c r="B31" s="58" t="s">
        <v>154</v>
      </c>
      <c r="C31" s="59"/>
      <c r="D31" s="59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/>
      <c r="L31" s="43"/>
      <c r="M31" s="43">
        <v>0</v>
      </c>
      <c r="N31" s="43">
        <v>0</v>
      </c>
      <c r="O31" s="60">
        <f t="shared" si="1"/>
        <v>0</v>
      </c>
      <c r="P31" s="53">
        <f>O31/O40*1000</f>
        <v>0</v>
      </c>
    </row>
    <row r="32" spans="1:16" ht="18" x14ac:dyDescent="0.35">
      <c r="A32" s="57" t="s">
        <v>155</v>
      </c>
      <c r="B32" s="58" t="s">
        <v>156</v>
      </c>
      <c r="C32" s="59">
        <v>64797.58</v>
      </c>
      <c r="D32" s="59">
        <v>1446.81</v>
      </c>
      <c r="E32" s="43">
        <v>78326.247044498319</v>
      </c>
      <c r="F32" s="43">
        <v>2267.2373011983182</v>
      </c>
      <c r="G32" s="43">
        <f>G8+G25</f>
        <v>115421.26</v>
      </c>
      <c r="H32" s="43">
        <f>H8+H25+0.01</f>
        <v>3127.6839890236542</v>
      </c>
      <c r="I32" s="43">
        <f>I8+I25</f>
        <v>48477.15</v>
      </c>
      <c r="J32" s="43">
        <f>J8+J25</f>
        <v>5082.5557424844637</v>
      </c>
      <c r="K32" s="43">
        <v>980.82</v>
      </c>
      <c r="L32" s="43">
        <v>1446.81</v>
      </c>
      <c r="M32" s="43">
        <f>M8+M25</f>
        <v>4129.3</v>
      </c>
      <c r="N32" s="43">
        <f>N8+N25</f>
        <v>5919.1898737116717</v>
      </c>
      <c r="O32" s="60">
        <f t="shared" si="1"/>
        <v>168027.71</v>
      </c>
      <c r="P32" s="53">
        <f>O32/O40*1000</f>
        <v>3564.5528464942995</v>
      </c>
    </row>
    <row r="33" spans="1:16" ht="18" x14ac:dyDescent="0.35">
      <c r="A33" s="57" t="s">
        <v>157</v>
      </c>
      <c r="B33" s="58" t="s">
        <v>158</v>
      </c>
      <c r="C33" s="59"/>
      <c r="D33" s="59"/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/>
      <c r="L33" s="43"/>
      <c r="M33" s="43">
        <v>0</v>
      </c>
      <c r="N33" s="43">
        <v>0</v>
      </c>
      <c r="O33" s="60">
        <f t="shared" si="1"/>
        <v>0</v>
      </c>
      <c r="P33" s="53">
        <f>O33/O40*1000</f>
        <v>0</v>
      </c>
    </row>
    <row r="34" spans="1:16" ht="18" x14ac:dyDescent="0.35">
      <c r="A34" s="57" t="s">
        <v>159</v>
      </c>
      <c r="B34" s="58" t="s">
        <v>362</v>
      </c>
      <c r="C34" s="59"/>
      <c r="D34" s="59"/>
      <c r="E34" s="43">
        <v>0</v>
      </c>
      <c r="F34" s="43">
        <v>0</v>
      </c>
      <c r="G34" s="43">
        <f>G35+G36+G37+G38</f>
        <v>2617.1927999999998</v>
      </c>
      <c r="H34" s="43">
        <f>H35+H37</f>
        <v>70.920887440286009</v>
      </c>
      <c r="I34" s="43">
        <f>I35+I37+I38</f>
        <v>1099.2289999999998</v>
      </c>
      <c r="J34" s="43">
        <f>J37+J35</f>
        <v>115.24841396071045</v>
      </c>
      <c r="K34" s="43">
        <v>98.09</v>
      </c>
      <c r="L34" s="43">
        <v>144.68</v>
      </c>
      <c r="M34" s="43">
        <f>M35+M37+M38</f>
        <v>93.632999999999996</v>
      </c>
      <c r="N34" s="43">
        <f>N35+N37+N38</f>
        <v>134.20789295164917</v>
      </c>
      <c r="O34" s="60">
        <f t="shared" si="1"/>
        <v>3810.0547999999994</v>
      </c>
      <c r="P34" s="53">
        <f>O34/O40*1000</f>
        <v>80.826797452868149</v>
      </c>
    </row>
    <row r="35" spans="1:16" ht="18" x14ac:dyDescent="0.35">
      <c r="A35" s="57" t="s">
        <v>79</v>
      </c>
      <c r="B35" s="58" t="s">
        <v>80</v>
      </c>
      <c r="C35" s="59"/>
      <c r="D35" s="59"/>
      <c r="E35" s="43">
        <v>0</v>
      </c>
      <c r="F35" s="43">
        <v>0</v>
      </c>
      <c r="G35" s="43">
        <f>(G37+G38)*0.18</f>
        <v>399.2328</v>
      </c>
      <c r="H35" s="43">
        <f>G35/G40*1000</f>
        <v>10.81844045699278</v>
      </c>
      <c r="I35" s="43">
        <f>I37*0.18</f>
        <v>167.67899999999997</v>
      </c>
      <c r="J35" s="43">
        <f>I35/I40*1000</f>
        <v>17.580266536379561</v>
      </c>
      <c r="K35" s="43">
        <v>17.649999999999999</v>
      </c>
      <c r="L35" s="43">
        <v>26.04</v>
      </c>
      <c r="M35" s="43">
        <f>(M37+M38)*0.18</f>
        <v>14.282999999999998</v>
      </c>
      <c r="N35" s="43">
        <f>N37*0.18</f>
        <v>20.472390450251567</v>
      </c>
      <c r="O35" s="60">
        <f t="shared" si="1"/>
        <v>581.19479999999999</v>
      </c>
      <c r="P35" s="53">
        <f>O35/O40*1000</f>
        <v>12.329511475861244</v>
      </c>
    </row>
    <row r="36" spans="1:16" ht="18" x14ac:dyDescent="0.35">
      <c r="A36" s="57" t="s">
        <v>81</v>
      </c>
      <c r="B36" s="58" t="s">
        <v>161</v>
      </c>
      <c r="C36" s="59"/>
      <c r="D36" s="59"/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/>
      <c r="L36" s="43"/>
      <c r="M36" s="43"/>
      <c r="N36" s="43">
        <f>M36/M40*1000</f>
        <v>0</v>
      </c>
      <c r="O36" s="60">
        <f t="shared" si="1"/>
        <v>0</v>
      </c>
      <c r="P36" s="53">
        <f>O36/O40*1000</f>
        <v>0</v>
      </c>
    </row>
    <row r="37" spans="1:16" ht="18" x14ac:dyDescent="0.35">
      <c r="A37" s="57" t="s">
        <v>83</v>
      </c>
      <c r="B37" s="58" t="s">
        <v>162</v>
      </c>
      <c r="C37" s="59"/>
      <c r="D37" s="59"/>
      <c r="E37" s="43">
        <v>0</v>
      </c>
      <c r="F37" s="43">
        <v>0</v>
      </c>
      <c r="G37" s="43">
        <v>2217.96</v>
      </c>
      <c r="H37" s="43">
        <f>G37/G40*1000</f>
        <v>60.102446983293227</v>
      </c>
      <c r="I37" s="43">
        <v>931.55</v>
      </c>
      <c r="J37" s="43">
        <f>I37/I40*1000</f>
        <v>97.668147424330897</v>
      </c>
      <c r="K37" s="43">
        <v>80.44</v>
      </c>
      <c r="L37" s="43">
        <v>118.64</v>
      </c>
      <c r="M37" s="43">
        <v>79.349999999999994</v>
      </c>
      <c r="N37" s="43">
        <f>M37/M40*1000-0.01</f>
        <v>113.7355025013976</v>
      </c>
      <c r="O37" s="60">
        <f t="shared" si="1"/>
        <v>3228.86</v>
      </c>
      <c r="P37" s="53">
        <f>O37/O40*1000</f>
        <v>68.497285977006925</v>
      </c>
    </row>
    <row r="38" spans="1:16" ht="18" x14ac:dyDescent="0.35">
      <c r="A38" s="57" t="s">
        <v>85</v>
      </c>
      <c r="B38" s="58" t="s">
        <v>303</v>
      </c>
      <c r="C38" s="59"/>
      <c r="D38" s="59"/>
      <c r="E38" s="43">
        <v>0</v>
      </c>
      <c r="F38" s="43">
        <v>0</v>
      </c>
      <c r="G38" s="43">
        <v>0</v>
      </c>
      <c r="H38" s="43">
        <f>G38/G40*1000</f>
        <v>0</v>
      </c>
      <c r="I38" s="43">
        <v>0</v>
      </c>
      <c r="J38" s="43">
        <f>I38/I40*1000</f>
        <v>0</v>
      </c>
      <c r="K38" s="43"/>
      <c r="L38" s="43"/>
      <c r="M38" s="43">
        <v>0</v>
      </c>
      <c r="N38" s="43">
        <f>M38/M40*1000</f>
        <v>0</v>
      </c>
      <c r="O38" s="60">
        <f t="shared" si="1"/>
        <v>0</v>
      </c>
      <c r="P38" s="53">
        <f>O38/O40*1000</f>
        <v>0</v>
      </c>
    </row>
    <row r="39" spans="1:16" ht="18" x14ac:dyDescent="0.35">
      <c r="A39" s="57" t="s">
        <v>163</v>
      </c>
      <c r="B39" s="58" t="s">
        <v>164</v>
      </c>
      <c r="C39" s="59">
        <v>64797.58</v>
      </c>
      <c r="D39" s="59">
        <v>1446.81</v>
      </c>
      <c r="E39" s="43">
        <v>78326.247044498319</v>
      </c>
      <c r="F39" s="43">
        <v>2267.2273011983179</v>
      </c>
      <c r="G39" s="43">
        <f>G32+G34</f>
        <v>118038.4528</v>
      </c>
      <c r="H39" s="43">
        <f>H32+H34</f>
        <v>3198.6048764639404</v>
      </c>
      <c r="I39" s="43">
        <f>I32+I34</f>
        <v>49576.379000000001</v>
      </c>
      <c r="J39" s="43">
        <f>J32+J34+0.01</f>
        <v>5197.8141564451744</v>
      </c>
      <c r="K39" s="43">
        <v>1078.9100000000001</v>
      </c>
      <c r="L39" s="43">
        <v>1591.49</v>
      </c>
      <c r="M39" s="43">
        <f>M32+M34</f>
        <v>4222.933</v>
      </c>
      <c r="N39" s="43">
        <f>N32+N34</f>
        <v>6053.3977666633209</v>
      </c>
      <c r="O39" s="60">
        <f t="shared" si="1"/>
        <v>171837.76479999998</v>
      </c>
      <c r="P39" s="53">
        <f>O39/O40*1000</f>
        <v>3645.3796439471671</v>
      </c>
    </row>
    <row r="40" spans="1:16" ht="15.75" customHeight="1" x14ac:dyDescent="0.35">
      <c r="A40" s="57">
        <v>9</v>
      </c>
      <c r="B40" s="58" t="s">
        <v>364</v>
      </c>
      <c r="C40" s="59">
        <v>44786.45</v>
      </c>
      <c r="D40" s="59"/>
      <c r="E40" s="43">
        <v>34547</v>
      </c>
      <c r="F40" s="43">
        <v>0</v>
      </c>
      <c r="G40" s="43">
        <v>36902.99</v>
      </c>
      <c r="H40" s="52" t="s">
        <v>35</v>
      </c>
      <c r="I40" s="43">
        <v>9537.91</v>
      </c>
      <c r="J40" s="52" t="s">
        <v>35</v>
      </c>
      <c r="K40" s="43">
        <v>678</v>
      </c>
      <c r="L40" s="43"/>
      <c r="M40" s="43">
        <v>697.61</v>
      </c>
      <c r="N40" s="52" t="s">
        <v>35</v>
      </c>
      <c r="O40" s="60">
        <f t="shared" si="1"/>
        <v>47138.509999999995</v>
      </c>
      <c r="P40" s="53"/>
    </row>
    <row r="41" spans="1:16" ht="18" x14ac:dyDescent="0.35">
      <c r="A41" s="57">
        <v>10</v>
      </c>
      <c r="B41" s="58" t="s">
        <v>358</v>
      </c>
      <c r="C41" s="59"/>
      <c r="D41" s="59">
        <v>1446.81</v>
      </c>
      <c r="E41" s="43">
        <v>0</v>
      </c>
      <c r="F41" s="43">
        <v>2267.2273011983179</v>
      </c>
      <c r="G41" s="52" t="s">
        <v>35</v>
      </c>
      <c r="H41" s="43">
        <f>H39</f>
        <v>3198.6048764639404</v>
      </c>
      <c r="I41" s="52" t="s">
        <v>35</v>
      </c>
      <c r="J41" s="43">
        <f>J39</f>
        <v>5197.8141564451744</v>
      </c>
      <c r="K41" s="43"/>
      <c r="L41" s="43">
        <v>1591.49</v>
      </c>
      <c r="M41" s="52" t="s">
        <v>35</v>
      </c>
      <c r="N41" s="43">
        <f>N39</f>
        <v>6053.3977666633209</v>
      </c>
      <c r="O41" s="53"/>
      <c r="P41" s="53"/>
    </row>
    <row r="42" spans="1:16" ht="18" hidden="1" x14ac:dyDescent="0.35">
      <c r="A42" s="57" t="s">
        <v>165</v>
      </c>
      <c r="B42" s="58" t="s">
        <v>166</v>
      </c>
      <c r="C42" s="59"/>
      <c r="D42" s="59">
        <v>1110.27</v>
      </c>
      <c r="E42" s="43">
        <v>49907.870589102793</v>
      </c>
      <c r="F42" s="43">
        <v>1444.6368885605928</v>
      </c>
      <c r="G42" s="52">
        <v>49907.870589102793</v>
      </c>
      <c r="H42" s="43">
        <v>1444.6368885605928</v>
      </c>
      <c r="I42" s="52">
        <v>17172.550882001957</v>
      </c>
      <c r="J42" s="43">
        <v>2452.170624304149</v>
      </c>
      <c r="K42" s="43"/>
      <c r="L42" s="43">
        <v>1110.27</v>
      </c>
      <c r="M42" s="52">
        <v>1239.0273220193383</v>
      </c>
      <c r="N42" s="43">
        <v>2452.1730605982648</v>
      </c>
      <c r="O42" s="53"/>
      <c r="P42" s="53"/>
    </row>
    <row r="43" spans="1:16" ht="18" hidden="1" x14ac:dyDescent="0.35">
      <c r="A43" s="57" t="s">
        <v>167</v>
      </c>
      <c r="B43" s="58" t="s">
        <v>168</v>
      </c>
      <c r="C43" s="59"/>
      <c r="D43" s="59">
        <v>336.54</v>
      </c>
      <c r="E43" s="43">
        <v>20773.532643727402</v>
      </c>
      <c r="F43" s="43">
        <v>822.60041263772598</v>
      </c>
      <c r="G43" s="52">
        <v>20773.532643727402</v>
      </c>
      <c r="H43" s="43">
        <v>822.60041263772598</v>
      </c>
      <c r="I43" s="52">
        <v>4409.8738832322088</v>
      </c>
      <c r="J43" s="43">
        <v>851.00031730375304</v>
      </c>
      <c r="K43" s="43"/>
      <c r="L43" s="43">
        <v>481.22</v>
      </c>
      <c r="M43" s="52">
        <v>318.18108253397389</v>
      </c>
      <c r="N43" s="43">
        <v>850.99568638936944</v>
      </c>
      <c r="O43" s="53"/>
      <c r="P43" s="53"/>
    </row>
    <row r="44" spans="1:16" ht="18" hidden="1" x14ac:dyDescent="0.35">
      <c r="A44" s="57" t="s">
        <v>169</v>
      </c>
      <c r="B44" s="58" t="s">
        <v>170</v>
      </c>
      <c r="C44" s="59"/>
      <c r="D44" s="59">
        <v>76.739999999999995</v>
      </c>
      <c r="E44" s="43">
        <v>63.71793935275538</v>
      </c>
      <c r="F44" s="43">
        <v>63.718220391799527</v>
      </c>
      <c r="G44" s="52">
        <v>63.71793935275538</v>
      </c>
      <c r="H44" s="43">
        <v>63.718220391799527</v>
      </c>
      <c r="I44" s="52">
        <v>74.236867169535373</v>
      </c>
      <c r="J44" s="43">
        <v>74.236867169535373</v>
      </c>
      <c r="K44" s="43"/>
      <c r="L44" s="43">
        <v>69.760000000000005</v>
      </c>
      <c r="M44" s="52">
        <v>74.236776388072371</v>
      </c>
      <c r="N44" s="43">
        <v>74.236990248668178</v>
      </c>
      <c r="O44" s="53"/>
      <c r="P44" s="53"/>
    </row>
    <row r="45" spans="1:16" ht="18" hidden="1" x14ac:dyDescent="0.35">
      <c r="A45" s="57" t="s">
        <v>171</v>
      </c>
      <c r="B45" s="58" t="s">
        <v>172</v>
      </c>
      <c r="C45" s="59"/>
      <c r="D45" s="59">
        <v>23.26</v>
      </c>
      <c r="E45" s="43">
        <v>36.28206064724462</v>
      </c>
      <c r="F45" s="43">
        <v>36.281779608200473</v>
      </c>
      <c r="G45" s="52">
        <v>36.28206064724462</v>
      </c>
      <c r="H45" s="43">
        <v>36.281779608200473</v>
      </c>
      <c r="I45" s="52">
        <v>25.763132830464627</v>
      </c>
      <c r="J45" s="43">
        <v>25.763132830464627</v>
      </c>
      <c r="K45" s="43"/>
      <c r="L45" s="43">
        <v>30.24</v>
      </c>
      <c r="M45" s="52">
        <v>25.763223611927629</v>
      </c>
      <c r="N45" s="43">
        <v>25.763009751331822</v>
      </c>
      <c r="O45" s="53"/>
      <c r="P45" s="53"/>
    </row>
    <row r="46" spans="1:16" ht="18.75" hidden="1" customHeight="1" x14ac:dyDescent="0.35">
      <c r="A46" s="57" t="s">
        <v>173</v>
      </c>
      <c r="B46" s="58" t="s">
        <v>174</v>
      </c>
      <c r="C46" s="59">
        <v>44786.45</v>
      </c>
      <c r="D46" s="59"/>
      <c r="E46" s="43">
        <v>34547</v>
      </c>
      <c r="F46" s="43">
        <v>0</v>
      </c>
      <c r="G46" s="52">
        <v>34547</v>
      </c>
      <c r="H46" s="43">
        <v>0</v>
      </c>
      <c r="I46" s="52">
        <v>7003</v>
      </c>
      <c r="J46" s="43">
        <v>0</v>
      </c>
      <c r="K46" s="43">
        <v>678</v>
      </c>
      <c r="L46" s="43"/>
      <c r="M46" s="52">
        <v>505.27727505376345</v>
      </c>
      <c r="N46" s="43">
        <v>0</v>
      </c>
      <c r="O46" s="53"/>
      <c r="P46" s="53"/>
    </row>
    <row r="47" spans="1:16" ht="18" hidden="1" x14ac:dyDescent="0.35">
      <c r="A47" s="57" t="s">
        <v>175</v>
      </c>
      <c r="B47" s="58" t="s">
        <v>176</v>
      </c>
      <c r="C47" s="59"/>
      <c r="D47" s="59"/>
      <c r="E47" s="43">
        <v>0</v>
      </c>
      <c r="F47" s="43">
        <v>2720.6827614379818</v>
      </c>
      <c r="G47" s="52">
        <v>0</v>
      </c>
      <c r="H47" s="43">
        <v>2720.6827614379818</v>
      </c>
      <c r="I47" s="52">
        <v>0</v>
      </c>
      <c r="J47" s="43">
        <v>0</v>
      </c>
      <c r="K47" s="43"/>
      <c r="L47" s="43"/>
      <c r="M47" s="52">
        <v>0</v>
      </c>
      <c r="N47" s="43">
        <v>0</v>
      </c>
      <c r="O47" s="53"/>
      <c r="P47" s="53"/>
    </row>
    <row r="48" spans="1:16" ht="21" customHeight="1" x14ac:dyDescent="0.35">
      <c r="A48" s="62">
        <v>11</v>
      </c>
      <c r="B48" s="58" t="s">
        <v>359</v>
      </c>
      <c r="C48" s="59"/>
      <c r="D48" s="59">
        <v>1736.17</v>
      </c>
      <c r="E48" s="43">
        <v>0</v>
      </c>
      <c r="F48" s="43">
        <v>2720.6847614379822</v>
      </c>
      <c r="G48" s="52" t="s">
        <v>35</v>
      </c>
      <c r="H48" s="43">
        <f>H41*1.2-0.01</f>
        <v>3838.3158517567281</v>
      </c>
      <c r="I48" s="52" t="s">
        <v>35</v>
      </c>
      <c r="J48" s="43">
        <f>J41*1.2-0.01</f>
        <v>6237.366987734209</v>
      </c>
      <c r="K48" s="43"/>
      <c r="L48" s="43">
        <v>1909.79</v>
      </c>
      <c r="M48" s="52" t="s">
        <v>35</v>
      </c>
      <c r="N48" s="43">
        <f>N39*1.2</f>
        <v>7264.0773199959849</v>
      </c>
      <c r="O48" s="53"/>
      <c r="P48" s="53"/>
    </row>
    <row r="49" spans="1:14" ht="18" hidden="1" x14ac:dyDescent="0.3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18" hidden="1" x14ac:dyDescent="0.35">
      <c r="A50" s="66" t="s">
        <v>310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</row>
    <row r="51" spans="1:14" ht="0.75" customHeight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>
        <v>0</v>
      </c>
    </row>
    <row r="52" spans="1:14" ht="33" customHeight="1" x14ac:dyDescent="0.35">
      <c r="A52" s="66" t="s">
        <v>367</v>
      </c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</row>
    <row r="53" spans="1:14" ht="18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</sheetData>
  <mergeCells count="16">
    <mergeCell ref="F1:H1"/>
    <mergeCell ref="M1:N1"/>
    <mergeCell ref="A2:N2"/>
    <mergeCell ref="A4:A6"/>
    <mergeCell ref="B4:B6"/>
    <mergeCell ref="C4:D4"/>
    <mergeCell ref="E4:F4"/>
    <mergeCell ref="K4:L4"/>
    <mergeCell ref="A50:N50"/>
    <mergeCell ref="A52:N52"/>
    <mergeCell ref="C5:D5"/>
    <mergeCell ref="E5:F5"/>
    <mergeCell ref="K5:L5"/>
    <mergeCell ref="M4:N5"/>
    <mergeCell ref="I4:J5"/>
    <mergeCell ref="G4:H5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675FB-4EA7-4224-A1F8-521D8168936F}">
  <dimension ref="A1:R61"/>
  <sheetViews>
    <sheetView topLeftCell="B1" workbookViewId="0">
      <selection activeCell="Q2" sqref="Q2"/>
    </sheetView>
  </sheetViews>
  <sheetFormatPr defaultRowHeight="14.4" x14ac:dyDescent="0.3"/>
  <cols>
    <col min="1" max="1" width="7.109375" style="53" customWidth="1"/>
    <col min="2" max="2" width="77.5546875" style="53" customWidth="1"/>
    <col min="3" max="3" width="3" style="53" hidden="1" customWidth="1"/>
    <col min="4" max="4" width="14.5546875" style="53" hidden="1" customWidth="1"/>
    <col min="5" max="5" width="18.88671875" style="53" hidden="1" customWidth="1"/>
    <col min="6" max="6" width="21" style="53" hidden="1" customWidth="1"/>
    <col min="7" max="7" width="19.33203125" style="53" customWidth="1"/>
    <col min="8" max="8" width="16.44140625" style="53" customWidth="1"/>
    <col min="9" max="9" width="17.88671875" style="53" customWidth="1"/>
    <col min="10" max="10" width="16.5546875" style="53" customWidth="1"/>
    <col min="11" max="11" width="18.5546875" style="53" hidden="1" customWidth="1"/>
    <col min="12" max="12" width="12.33203125" style="53" hidden="1" customWidth="1"/>
    <col min="13" max="13" width="17.33203125" style="53" customWidth="1"/>
    <col min="14" max="14" width="15.109375" style="53" customWidth="1"/>
    <col min="15" max="15" width="12.6640625" style="53" hidden="1" customWidth="1"/>
    <col min="16" max="16" width="1.5546875" style="53" hidden="1" customWidth="1"/>
    <col min="17" max="17" width="11.6640625" style="53" hidden="1" customWidth="1"/>
    <col min="18" max="18" width="0.109375" style="53" customWidth="1"/>
    <col min="19" max="16384" width="8.88671875" style="53"/>
  </cols>
  <sheetData>
    <row r="1" spans="1:18" ht="69" customHeight="1" x14ac:dyDescent="0.3">
      <c r="F1" s="98"/>
      <c r="G1" s="98"/>
      <c r="H1" s="98"/>
      <c r="M1" s="99" t="s">
        <v>317</v>
      </c>
      <c r="N1" s="99"/>
      <c r="O1" s="99"/>
    </row>
    <row r="2" spans="1:18" ht="36.75" customHeight="1" x14ac:dyDescent="0.3">
      <c r="A2" s="100" t="s">
        <v>304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</row>
    <row r="3" spans="1:18" ht="1.5" hidden="1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8" ht="17.25" customHeight="1" x14ac:dyDescent="0.3">
      <c r="A4" s="101" t="s">
        <v>323</v>
      </c>
      <c r="B4" s="104" t="s">
        <v>133</v>
      </c>
      <c r="C4" s="67" t="s">
        <v>290</v>
      </c>
      <c r="D4" s="67"/>
      <c r="E4" s="67" t="s">
        <v>291</v>
      </c>
      <c r="F4" s="67"/>
      <c r="G4" s="68" t="s">
        <v>300</v>
      </c>
      <c r="H4" s="69"/>
      <c r="I4" s="68" t="s">
        <v>307</v>
      </c>
      <c r="J4" s="69"/>
      <c r="K4" s="67" t="s">
        <v>290</v>
      </c>
      <c r="L4" s="67"/>
      <c r="M4" s="68" t="s">
        <v>308</v>
      </c>
      <c r="N4" s="69"/>
      <c r="O4" s="67" t="s">
        <v>292</v>
      </c>
      <c r="P4" s="129"/>
      <c r="Q4" s="129"/>
      <c r="R4" s="129"/>
    </row>
    <row r="5" spans="1:18" ht="26.4" customHeight="1" x14ac:dyDescent="0.3">
      <c r="A5" s="102"/>
      <c r="B5" s="105"/>
      <c r="C5" s="67" t="s">
        <v>293</v>
      </c>
      <c r="D5" s="67"/>
      <c r="E5" s="67" t="s">
        <v>300</v>
      </c>
      <c r="F5" s="67"/>
      <c r="G5" s="70"/>
      <c r="H5" s="71"/>
      <c r="I5" s="70"/>
      <c r="J5" s="71"/>
      <c r="K5" s="67" t="s">
        <v>294</v>
      </c>
      <c r="L5" s="67"/>
      <c r="M5" s="70"/>
      <c r="N5" s="71"/>
      <c r="O5" s="67"/>
      <c r="P5" s="129"/>
      <c r="Q5" s="129"/>
      <c r="R5" s="129"/>
    </row>
    <row r="6" spans="1:18" ht="18" x14ac:dyDescent="0.35">
      <c r="A6" s="103"/>
      <c r="B6" s="106"/>
      <c r="C6" s="54" t="s">
        <v>135</v>
      </c>
      <c r="D6" s="54" t="s">
        <v>134</v>
      </c>
      <c r="E6" s="54" t="s">
        <v>135</v>
      </c>
      <c r="F6" s="54" t="s">
        <v>134</v>
      </c>
      <c r="G6" s="55" t="s">
        <v>313</v>
      </c>
      <c r="H6" s="54" t="s">
        <v>357</v>
      </c>
      <c r="I6" s="54" t="s">
        <v>313</v>
      </c>
      <c r="J6" s="54" t="s">
        <v>357</v>
      </c>
      <c r="K6" s="54" t="s">
        <v>135</v>
      </c>
      <c r="L6" s="54" t="s">
        <v>134</v>
      </c>
      <c r="M6" s="54" t="s">
        <v>313</v>
      </c>
      <c r="N6" s="134" t="s">
        <v>357</v>
      </c>
      <c r="O6" s="54"/>
      <c r="P6" s="129"/>
      <c r="Q6" s="129"/>
      <c r="R6" s="129"/>
    </row>
    <row r="7" spans="1:18" ht="18" x14ac:dyDescent="0.35">
      <c r="A7" s="64">
        <v>1</v>
      </c>
      <c r="B7" s="56">
        <v>2</v>
      </c>
      <c r="C7" s="56"/>
      <c r="D7" s="56"/>
      <c r="E7" s="56">
        <v>3</v>
      </c>
      <c r="F7" s="56">
        <v>4</v>
      </c>
      <c r="G7" s="56">
        <v>3</v>
      </c>
      <c r="H7" s="56">
        <v>4</v>
      </c>
      <c r="I7" s="56">
        <v>5</v>
      </c>
      <c r="J7" s="56">
        <v>6</v>
      </c>
      <c r="K7" s="56"/>
      <c r="L7" s="56"/>
      <c r="M7" s="56">
        <v>7</v>
      </c>
      <c r="N7" s="56">
        <v>8</v>
      </c>
      <c r="O7" s="54"/>
      <c r="P7" s="129"/>
      <c r="Q7" s="129"/>
      <c r="R7" s="129"/>
    </row>
    <row r="8" spans="1:18" ht="18" x14ac:dyDescent="0.35">
      <c r="A8" s="64">
        <v>1</v>
      </c>
      <c r="B8" s="55" t="s">
        <v>32</v>
      </c>
      <c r="C8" s="54">
        <v>62929.02</v>
      </c>
      <c r="D8" s="54">
        <v>1405.09</v>
      </c>
      <c r="E8" s="130">
        <v>74236.266320820505</v>
      </c>
      <c r="F8" s="130">
        <v>2148.8484186997571</v>
      </c>
      <c r="G8" s="130">
        <f>G9+G20+G21+G24</f>
        <v>17070.98</v>
      </c>
      <c r="H8" s="130">
        <f>H9+H20+H21+H24-0.01</f>
        <v>542.35632247815727</v>
      </c>
      <c r="I8" s="130">
        <f>I9+I20+I21+I24</f>
        <v>4412.16</v>
      </c>
      <c r="J8" s="130">
        <f>J9+J20+J21+J24</f>
        <v>542.35754763368163</v>
      </c>
      <c r="K8" s="130">
        <v>952.54</v>
      </c>
      <c r="L8" s="130">
        <v>1405.09</v>
      </c>
      <c r="M8" s="130">
        <f>M9+M20+M21+M24</f>
        <v>322.7</v>
      </c>
      <c r="N8" s="130">
        <f>N9+N20+N21+N24-0.01</f>
        <v>542.3629411764706</v>
      </c>
      <c r="O8" s="54">
        <v>98148.493699220722</v>
      </c>
      <c r="P8" s="131">
        <f>G8+I8+M8</f>
        <v>21805.84</v>
      </c>
      <c r="Q8" s="131">
        <f>G8+I8+M8</f>
        <v>21805.84</v>
      </c>
      <c r="R8" s="129">
        <f>Q8/Q42*1000</f>
        <v>542.36637234174862</v>
      </c>
    </row>
    <row r="9" spans="1:18" ht="18" x14ac:dyDescent="0.35">
      <c r="A9" s="64" t="s">
        <v>36</v>
      </c>
      <c r="B9" s="55" t="s">
        <v>37</v>
      </c>
      <c r="C9" s="54">
        <v>52895.94</v>
      </c>
      <c r="D9" s="54">
        <v>1181.07</v>
      </c>
      <c r="E9" s="130">
        <v>53618.754370763585</v>
      </c>
      <c r="F9" s="130">
        <v>1552.0524031251218</v>
      </c>
      <c r="G9" s="130">
        <f>G10+G14+G18+G19</f>
        <v>6038.2400000000007</v>
      </c>
      <c r="H9" s="130">
        <f>H14+H18+H19</f>
        <v>191.84241461477365</v>
      </c>
      <c r="I9" s="130">
        <f>I10+I14+I18+I19</f>
        <v>1560.6399999999999</v>
      </c>
      <c r="J9" s="130">
        <f>J10+J14+J18+J19</f>
        <v>191.84265519360787</v>
      </c>
      <c r="K9" s="130">
        <v>800.76</v>
      </c>
      <c r="L9" s="130">
        <v>1181.07</v>
      </c>
      <c r="M9" s="130">
        <f>M10+M14+M18+M19</f>
        <v>114.14</v>
      </c>
      <c r="N9" s="130">
        <f>N10+N14+N18+N19</f>
        <v>191.84193277310925</v>
      </c>
      <c r="O9" s="54">
        <v>73050.07147387549</v>
      </c>
      <c r="P9" s="131">
        <f t="shared" ref="P9:P42" si="0">G9+I9+M9</f>
        <v>7713.0200000000013</v>
      </c>
      <c r="Q9" s="131">
        <f t="shared" ref="Q9:Q42" si="1">G9+I9+M9</f>
        <v>7713.0200000000013</v>
      </c>
      <c r="R9" s="129">
        <f>Q9/Q42*1000</f>
        <v>191.84230817062559</v>
      </c>
    </row>
    <row r="10" spans="1:18" ht="18.75" customHeight="1" x14ac:dyDescent="0.35">
      <c r="A10" s="64" t="s">
        <v>39</v>
      </c>
      <c r="B10" s="55" t="s">
        <v>138</v>
      </c>
      <c r="C10" s="54">
        <v>49725.05</v>
      </c>
      <c r="D10" s="54">
        <v>1110.27</v>
      </c>
      <c r="E10" s="130">
        <v>49907.870589102793</v>
      </c>
      <c r="F10" s="130">
        <v>1444.6368885605928</v>
      </c>
      <c r="G10" s="130">
        <v>0</v>
      </c>
      <c r="H10" s="130">
        <f>G10/G42*1000</f>
        <v>0</v>
      </c>
      <c r="I10" s="130">
        <v>0</v>
      </c>
      <c r="J10" s="130">
        <f>I10/I42*1000</f>
        <v>0</v>
      </c>
      <c r="K10" s="130">
        <v>752.76</v>
      </c>
      <c r="L10" s="130">
        <v>1110.27</v>
      </c>
      <c r="M10" s="130">
        <v>0</v>
      </c>
      <c r="N10" s="130">
        <v>0</v>
      </c>
      <c r="O10" s="54">
        <v>68319.448793124087</v>
      </c>
      <c r="P10" s="131">
        <f t="shared" si="0"/>
        <v>0</v>
      </c>
      <c r="Q10" s="131">
        <f t="shared" si="1"/>
        <v>0</v>
      </c>
      <c r="R10" s="129">
        <f>Q10/Q42*1000</f>
        <v>0</v>
      </c>
    </row>
    <row r="11" spans="1:18" ht="18" hidden="1" x14ac:dyDescent="0.35">
      <c r="A11" s="64"/>
      <c r="B11" s="55" t="s">
        <v>295</v>
      </c>
      <c r="C11" s="54">
        <v>44371.133892228005</v>
      </c>
      <c r="D11" s="54">
        <v>990.72678311080585</v>
      </c>
      <c r="E11" s="130">
        <v>39675.38494593247</v>
      </c>
      <c r="F11" s="130">
        <v>1148.4466074024508</v>
      </c>
      <c r="G11" s="130">
        <v>39675.38494593247</v>
      </c>
      <c r="H11" s="130">
        <v>1148.4466074024508</v>
      </c>
      <c r="I11" s="130">
        <v>13651.705807216009</v>
      </c>
      <c r="J11" s="130">
        <v>1949.4082260768255</v>
      </c>
      <c r="K11" s="130">
        <v>671.71002842055555</v>
      </c>
      <c r="L11" s="130">
        <v>990.72678311080585</v>
      </c>
      <c r="M11" s="130">
        <v>984.96170574653604</v>
      </c>
      <c r="N11" s="130">
        <v>1949.3699718897478</v>
      </c>
      <c r="O11" s="54">
        <v>54312.052458895014</v>
      </c>
      <c r="P11" s="131">
        <f t="shared" si="0"/>
        <v>54312.052458895014</v>
      </c>
      <c r="Q11" s="131">
        <f t="shared" si="1"/>
        <v>54312.052458895014</v>
      </c>
      <c r="R11" s="129" t="e">
        <f t="shared" ref="R11:R17" si="2">Q11/Q45*1000</f>
        <v>#DIV/0!</v>
      </c>
    </row>
    <row r="12" spans="1:18" ht="18" hidden="1" x14ac:dyDescent="0.35">
      <c r="A12" s="64"/>
      <c r="B12" s="55" t="s">
        <v>296</v>
      </c>
      <c r="C12" s="54">
        <v>1118.5450005724183</v>
      </c>
      <c r="D12" s="54">
        <v>24.97507710470957</v>
      </c>
      <c r="E12" s="130">
        <v>1216.9208979463872</v>
      </c>
      <c r="F12" s="130">
        <v>35.225081713213505</v>
      </c>
      <c r="G12" s="130">
        <v>1216.9208979463872</v>
      </c>
      <c r="H12" s="130">
        <v>35.225081713213505</v>
      </c>
      <c r="I12" s="130">
        <v>418.72425716994559</v>
      </c>
      <c r="J12" s="130">
        <v>59.792125827494722</v>
      </c>
      <c r="K12" s="130">
        <v>16.933033443523804</v>
      </c>
      <c r="L12" s="130">
        <v>24.97507710470957</v>
      </c>
      <c r="M12" s="130">
        <v>30.210683148589407</v>
      </c>
      <c r="N12" s="130">
        <v>59.790339058752735</v>
      </c>
      <c r="O12" s="54">
        <v>1665.8558382649221</v>
      </c>
      <c r="P12" s="131">
        <f t="shared" si="0"/>
        <v>1665.8558382649221</v>
      </c>
      <c r="Q12" s="131">
        <f t="shared" si="1"/>
        <v>1665.8558382649221</v>
      </c>
      <c r="R12" s="129" t="e">
        <f t="shared" si="2"/>
        <v>#DIV/0!</v>
      </c>
    </row>
    <row r="13" spans="1:18" ht="19.5" customHeight="1" x14ac:dyDescent="0.35">
      <c r="A13" s="64" t="s">
        <v>41</v>
      </c>
      <c r="B13" s="55" t="s">
        <v>365</v>
      </c>
      <c r="C13" s="54"/>
      <c r="D13" s="54"/>
      <c r="E13" s="130">
        <v>0</v>
      </c>
      <c r="F13" s="130">
        <v>0</v>
      </c>
      <c r="G13" s="130">
        <v>0</v>
      </c>
      <c r="H13" s="130">
        <v>0</v>
      </c>
      <c r="I13" s="130">
        <v>0</v>
      </c>
      <c r="J13" s="130">
        <v>0</v>
      </c>
      <c r="K13" s="130"/>
      <c r="L13" s="130"/>
      <c r="M13" s="130">
        <v>0</v>
      </c>
      <c r="N13" s="130">
        <v>0</v>
      </c>
      <c r="O13" s="54">
        <v>12341.540495964149</v>
      </c>
      <c r="P13" s="131">
        <f t="shared" si="0"/>
        <v>0</v>
      </c>
      <c r="Q13" s="131">
        <f t="shared" si="1"/>
        <v>0</v>
      </c>
      <c r="R13" s="129" t="e">
        <f t="shared" si="2"/>
        <v>#DIV/0!</v>
      </c>
    </row>
    <row r="14" spans="1:18" ht="18" customHeight="1" x14ac:dyDescent="0.35">
      <c r="A14" s="64" t="s">
        <v>43</v>
      </c>
      <c r="B14" s="55" t="s">
        <v>139</v>
      </c>
      <c r="C14" s="54">
        <v>2922.32</v>
      </c>
      <c r="D14" s="54">
        <v>65.25</v>
      </c>
      <c r="E14" s="130">
        <v>3494.3465336017216</v>
      </c>
      <c r="F14" s="130">
        <v>101.14761147427335</v>
      </c>
      <c r="G14" s="130">
        <v>4415.67</v>
      </c>
      <c r="H14" s="130">
        <f>G14/G42*1000</f>
        <v>140.29134233518667</v>
      </c>
      <c r="I14" s="130">
        <v>1141.27</v>
      </c>
      <c r="J14" s="130">
        <f>I14/I42*1000</f>
        <v>140.29133374308543</v>
      </c>
      <c r="K14" s="130">
        <v>44.24</v>
      </c>
      <c r="L14" s="130">
        <v>65.25</v>
      </c>
      <c r="M14" s="130">
        <v>83.47</v>
      </c>
      <c r="N14" s="130">
        <f>M14/M42*1000</f>
        <v>140.28571428571428</v>
      </c>
      <c r="O14" s="54">
        <v>4253.7910250977184</v>
      </c>
      <c r="P14" s="131">
        <f t="shared" si="0"/>
        <v>5640.4100000000008</v>
      </c>
      <c r="Q14" s="131">
        <f t="shared" si="1"/>
        <v>5640.4100000000008</v>
      </c>
      <c r="R14" s="129">
        <f>Q14/Q42*1000</f>
        <v>140.2912573063052</v>
      </c>
    </row>
    <row r="15" spans="1:18" ht="18" hidden="1" x14ac:dyDescent="0.35">
      <c r="A15" s="64" t="s">
        <v>43</v>
      </c>
      <c r="B15" s="55" t="s">
        <v>140</v>
      </c>
      <c r="C15" s="54"/>
      <c r="D15" s="54"/>
      <c r="E15" s="130">
        <v>0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0"/>
      <c r="L15" s="130"/>
      <c r="M15" s="130">
        <v>0</v>
      </c>
      <c r="N15" s="130">
        <v>0</v>
      </c>
      <c r="O15" s="54">
        <v>0</v>
      </c>
      <c r="P15" s="131">
        <f t="shared" si="0"/>
        <v>0</v>
      </c>
      <c r="Q15" s="131">
        <f t="shared" si="1"/>
        <v>0</v>
      </c>
      <c r="R15" s="129" t="e">
        <f t="shared" si="2"/>
        <v>#DIV/0!</v>
      </c>
    </row>
    <row r="16" spans="1:18" ht="36" hidden="1" x14ac:dyDescent="0.35">
      <c r="A16" s="64" t="s">
        <v>141</v>
      </c>
      <c r="B16" s="55" t="s">
        <v>142</v>
      </c>
      <c r="C16" s="54"/>
      <c r="D16" s="54"/>
      <c r="E16" s="130">
        <v>0</v>
      </c>
      <c r="F16" s="130">
        <v>0</v>
      </c>
      <c r="G16" s="130">
        <v>0</v>
      </c>
      <c r="H16" s="130">
        <v>0</v>
      </c>
      <c r="I16" s="130">
        <v>0</v>
      </c>
      <c r="J16" s="130">
        <v>0</v>
      </c>
      <c r="K16" s="130"/>
      <c r="L16" s="130"/>
      <c r="M16" s="130">
        <v>0</v>
      </c>
      <c r="N16" s="130">
        <v>0</v>
      </c>
      <c r="O16" s="54">
        <v>0</v>
      </c>
      <c r="P16" s="131">
        <f t="shared" si="0"/>
        <v>0</v>
      </c>
      <c r="Q16" s="131">
        <f t="shared" si="1"/>
        <v>0</v>
      </c>
      <c r="R16" s="129" t="e">
        <f t="shared" si="2"/>
        <v>#DIV/0!</v>
      </c>
    </row>
    <row r="17" spans="1:18" ht="0.75" hidden="1" customHeight="1" x14ac:dyDescent="0.35">
      <c r="A17" s="64" t="s">
        <v>43</v>
      </c>
      <c r="B17" s="55" t="s">
        <v>361</v>
      </c>
      <c r="C17" s="54"/>
      <c r="D17" s="54"/>
      <c r="E17" s="130">
        <v>0</v>
      </c>
      <c r="F17" s="130">
        <v>0</v>
      </c>
      <c r="G17" s="130">
        <v>0</v>
      </c>
      <c r="H17" s="130">
        <v>0</v>
      </c>
      <c r="I17" s="130">
        <v>0</v>
      </c>
      <c r="J17" s="130">
        <v>0</v>
      </c>
      <c r="K17" s="130"/>
      <c r="L17" s="130"/>
      <c r="M17" s="130">
        <v>0</v>
      </c>
      <c r="N17" s="130">
        <v>0</v>
      </c>
      <c r="O17" s="54">
        <v>0</v>
      </c>
      <c r="P17" s="131">
        <f t="shared" si="0"/>
        <v>0</v>
      </c>
      <c r="Q17" s="131">
        <f t="shared" si="1"/>
        <v>0</v>
      </c>
      <c r="R17" s="129" t="e">
        <f t="shared" si="2"/>
        <v>#DIV/0!</v>
      </c>
    </row>
    <row r="18" spans="1:18" ht="18" x14ac:dyDescent="0.35">
      <c r="A18" s="64" t="s">
        <v>45</v>
      </c>
      <c r="B18" s="55" t="s">
        <v>46</v>
      </c>
      <c r="C18" s="54">
        <v>110.79</v>
      </c>
      <c r="D18" s="54">
        <v>2.4700000000000002</v>
      </c>
      <c r="E18" s="130">
        <v>109.42068458420637</v>
      </c>
      <c r="F18" s="130">
        <v>3.1672991745797425</v>
      </c>
      <c r="G18" s="130">
        <v>611.19000000000005</v>
      </c>
      <c r="H18" s="130">
        <f>G18/G42*1000</f>
        <v>19.418268467037333</v>
      </c>
      <c r="I18" s="130">
        <v>157.97</v>
      </c>
      <c r="J18" s="130">
        <f>I18/I42*1000</f>
        <v>19.418561770129074</v>
      </c>
      <c r="K18" s="130">
        <v>1.67</v>
      </c>
      <c r="L18" s="130">
        <v>2.4700000000000002</v>
      </c>
      <c r="M18" s="130">
        <v>11.55</v>
      </c>
      <c r="N18" s="130">
        <f>M18/M42*1000+0.01</f>
        <v>19.421764705882357</v>
      </c>
      <c r="O18" s="54">
        <v>133.20165227659163</v>
      </c>
      <c r="P18" s="131">
        <f t="shared" si="0"/>
        <v>780.71</v>
      </c>
      <c r="Q18" s="131">
        <f t="shared" si="1"/>
        <v>780.71</v>
      </c>
      <c r="R18" s="129">
        <f>Q18/Q42*1000</f>
        <v>19.418231563238404</v>
      </c>
    </row>
    <row r="19" spans="1:18" ht="18" customHeight="1" x14ac:dyDescent="0.35">
      <c r="A19" s="64" t="s">
        <v>47</v>
      </c>
      <c r="B19" s="55" t="s">
        <v>144</v>
      </c>
      <c r="C19" s="54">
        <v>137.78</v>
      </c>
      <c r="D19" s="54">
        <v>3.08</v>
      </c>
      <c r="E19" s="130">
        <v>164.28241521803835</v>
      </c>
      <c r="F19" s="130">
        <v>4.7553308599310604</v>
      </c>
      <c r="G19" s="130">
        <v>1011.38</v>
      </c>
      <c r="H19" s="130">
        <f>G19/G42*1000</f>
        <v>32.132803812549639</v>
      </c>
      <c r="I19" s="130">
        <v>261.39999999999998</v>
      </c>
      <c r="J19" s="130">
        <f>I19/I42*1000</f>
        <v>32.132759680393356</v>
      </c>
      <c r="K19" s="130">
        <v>2.09</v>
      </c>
      <c r="L19" s="130">
        <v>3.08</v>
      </c>
      <c r="M19" s="130">
        <v>19.12</v>
      </c>
      <c r="N19" s="130">
        <f>M19/M42*1000</f>
        <v>32.134453781512605</v>
      </c>
      <c r="O19" s="54">
        <v>413.22000327549733</v>
      </c>
      <c r="P19" s="131">
        <f t="shared" si="0"/>
        <v>1291.8999999999999</v>
      </c>
      <c r="Q19" s="131">
        <f t="shared" si="1"/>
        <v>1291.8999999999999</v>
      </c>
      <c r="R19" s="129">
        <f>Q19/Q42*1000</f>
        <v>32.132819301081952</v>
      </c>
    </row>
    <row r="20" spans="1:18" ht="21" customHeight="1" x14ac:dyDescent="0.35">
      <c r="A20" s="64" t="s">
        <v>49</v>
      </c>
      <c r="B20" s="55" t="s">
        <v>145</v>
      </c>
      <c r="C20" s="54">
        <v>5240.01</v>
      </c>
      <c r="D20" s="54">
        <v>117</v>
      </c>
      <c r="E20" s="130">
        <v>8034.1019561128678</v>
      </c>
      <c r="F20" s="130">
        <v>232.5557054480235</v>
      </c>
      <c r="G20" s="130">
        <v>1258.52</v>
      </c>
      <c r="H20" s="130">
        <f>G20/G42*1000</f>
        <v>39.984749801429707</v>
      </c>
      <c r="I20" s="130">
        <v>325.27999999999997</v>
      </c>
      <c r="J20" s="130">
        <f>I20/I42*1000-0.01</f>
        <v>39.975248924400738</v>
      </c>
      <c r="K20" s="130">
        <v>79.23</v>
      </c>
      <c r="L20" s="130">
        <v>117</v>
      </c>
      <c r="M20" s="130">
        <v>23.79</v>
      </c>
      <c r="N20" s="130">
        <f>M20/M42*1000</f>
        <v>39.983193277310924</v>
      </c>
      <c r="O20" s="54">
        <v>9780.1947004323792</v>
      </c>
      <c r="P20" s="131">
        <f t="shared" si="0"/>
        <v>1607.59</v>
      </c>
      <c r="Q20" s="131">
        <f t="shared" si="1"/>
        <v>1607.59</v>
      </c>
      <c r="R20" s="129">
        <f>Q20/Q42*1000</f>
        <v>39.98482775774157</v>
      </c>
    </row>
    <row r="21" spans="1:18" ht="18" x14ac:dyDescent="0.35">
      <c r="A21" s="64" t="s">
        <v>51</v>
      </c>
      <c r="B21" s="55" t="s">
        <v>52</v>
      </c>
      <c r="C21" s="54">
        <v>1142.56</v>
      </c>
      <c r="D21" s="54">
        <v>25.51</v>
      </c>
      <c r="E21" s="130">
        <v>4176.7628483106555</v>
      </c>
      <c r="F21" s="130">
        <v>120.90088425364449</v>
      </c>
      <c r="G21" s="130">
        <f>G22+G23</f>
        <v>1814.86</v>
      </c>
      <c r="H21" s="130">
        <f>H22+H23</f>
        <v>57.660365369340745</v>
      </c>
      <c r="I21" s="130">
        <f>I22+I23</f>
        <v>469.07</v>
      </c>
      <c r="J21" s="130">
        <f>J22+J23</f>
        <v>57.660725261216967</v>
      </c>
      <c r="K21" s="130">
        <v>17.29</v>
      </c>
      <c r="L21" s="130">
        <v>25.51</v>
      </c>
      <c r="M21" s="130">
        <f>M22+M23</f>
        <v>34.31</v>
      </c>
      <c r="N21" s="130">
        <f>N22+N23+0.01</f>
        <v>57.663865546218496</v>
      </c>
      <c r="O21" s="54">
        <v>5084.5203299667946</v>
      </c>
      <c r="P21" s="131">
        <f t="shared" si="0"/>
        <v>2318.2399999999998</v>
      </c>
      <c r="Q21" s="131">
        <f t="shared" si="1"/>
        <v>2318.2399999999998</v>
      </c>
      <c r="R21" s="129">
        <f>Q21/Q42*1000</f>
        <v>57.660489988807356</v>
      </c>
    </row>
    <row r="22" spans="1:18" ht="18" x14ac:dyDescent="0.35">
      <c r="A22" s="64" t="s">
        <v>53</v>
      </c>
      <c r="B22" s="55" t="s">
        <v>56</v>
      </c>
      <c r="C22" s="54">
        <v>806.66</v>
      </c>
      <c r="D22" s="54">
        <v>18.010000000000002</v>
      </c>
      <c r="E22" s="130">
        <v>2947.4758968707151</v>
      </c>
      <c r="F22" s="130">
        <v>85.317853847532788</v>
      </c>
      <c r="G22" s="130">
        <v>1756.04</v>
      </c>
      <c r="H22" s="130">
        <f>G22/G42*1000</f>
        <v>55.791580619539317</v>
      </c>
      <c r="I22" s="130">
        <v>453.87</v>
      </c>
      <c r="J22" s="130">
        <f>I22/I42*1000</f>
        <v>55.792255685310394</v>
      </c>
      <c r="K22" s="130">
        <v>12.21</v>
      </c>
      <c r="L22" s="130">
        <v>18.010000000000002</v>
      </c>
      <c r="M22" s="130">
        <v>33.200000000000003</v>
      </c>
      <c r="N22" s="130">
        <f>M22/M42*1000-0.01</f>
        <v>55.788319327731102</v>
      </c>
      <c r="O22" s="54">
        <v>3588.0661154562245</v>
      </c>
      <c r="P22" s="131">
        <f t="shared" si="0"/>
        <v>2243.1099999999997</v>
      </c>
      <c r="Q22" s="131">
        <f t="shared" si="1"/>
        <v>2243.1099999999997</v>
      </c>
      <c r="R22" s="129">
        <f>Q22/Q42*1000</f>
        <v>55.791816938191758</v>
      </c>
    </row>
    <row r="23" spans="1:18" ht="18" x14ac:dyDescent="0.35">
      <c r="A23" s="64" t="s">
        <v>55</v>
      </c>
      <c r="B23" s="55" t="s">
        <v>311</v>
      </c>
      <c r="C23" s="54">
        <v>335.9</v>
      </c>
      <c r="D23" s="54">
        <v>7.5</v>
      </c>
      <c r="E23" s="130">
        <v>1229.286951439941</v>
      </c>
      <c r="F23" s="130">
        <v>35.583030406111703</v>
      </c>
      <c r="G23" s="130">
        <v>58.82</v>
      </c>
      <c r="H23" s="130">
        <f>G23/G42*1000</f>
        <v>1.8687847498014298</v>
      </c>
      <c r="I23" s="130">
        <v>15.2</v>
      </c>
      <c r="J23" s="130">
        <f>I23/I42*1000</f>
        <v>1.8684695759065766</v>
      </c>
      <c r="K23" s="130">
        <v>5.08</v>
      </c>
      <c r="L23" s="130">
        <v>7.5</v>
      </c>
      <c r="M23" s="130">
        <v>1.1100000000000001</v>
      </c>
      <c r="N23" s="130">
        <f>M23/M42*1000</f>
        <v>1.8655462184873952</v>
      </c>
      <c r="O23" s="54">
        <v>1496.4542145105709</v>
      </c>
      <c r="P23" s="131">
        <f t="shared" si="0"/>
        <v>75.13</v>
      </c>
      <c r="Q23" s="131">
        <f t="shared" si="1"/>
        <v>75.13</v>
      </c>
      <c r="R23" s="129">
        <f>Q23/Q42*1000</f>
        <v>1.8686730506155951</v>
      </c>
    </row>
    <row r="24" spans="1:18" ht="18" x14ac:dyDescent="0.35">
      <c r="A24" s="64" t="s">
        <v>59</v>
      </c>
      <c r="B24" s="55" t="s">
        <v>60</v>
      </c>
      <c r="C24" s="54">
        <v>3650.51</v>
      </c>
      <c r="D24" s="54">
        <v>81.510000000000005</v>
      </c>
      <c r="E24" s="130">
        <v>8406.6471456333948</v>
      </c>
      <c r="F24" s="130">
        <v>243.33942587296713</v>
      </c>
      <c r="G24" s="130">
        <f>G25+G26</f>
        <v>7959.36</v>
      </c>
      <c r="H24" s="130">
        <f>H25+H26</f>
        <v>252.87879269261316</v>
      </c>
      <c r="I24" s="130">
        <f>I25+I26</f>
        <v>2057.17</v>
      </c>
      <c r="J24" s="130">
        <f>J25+J26</f>
        <v>252.87891825445607</v>
      </c>
      <c r="K24" s="130">
        <v>55.26</v>
      </c>
      <c r="L24" s="130">
        <v>81.510000000000005</v>
      </c>
      <c r="M24" s="130">
        <f>M25+M26</f>
        <v>150.45999999999998</v>
      </c>
      <c r="N24" s="130">
        <f>N25+N26</f>
        <v>252.88394957983192</v>
      </c>
      <c r="O24" s="54">
        <v>10233.707024380214</v>
      </c>
      <c r="P24" s="131">
        <f t="shared" si="0"/>
        <v>10166.989999999998</v>
      </c>
      <c r="Q24" s="131">
        <f t="shared" si="1"/>
        <v>10166.989999999998</v>
      </c>
      <c r="R24" s="129">
        <f>Q24/Q42*1000</f>
        <v>252.87874642457402</v>
      </c>
    </row>
    <row r="25" spans="1:18" ht="20.25" customHeight="1" x14ac:dyDescent="0.35">
      <c r="A25" s="64" t="s">
        <v>61</v>
      </c>
      <c r="B25" s="55" t="s">
        <v>148</v>
      </c>
      <c r="C25" s="54">
        <v>3321.11</v>
      </c>
      <c r="D25" s="54">
        <v>74.150000000000006</v>
      </c>
      <c r="E25" s="130">
        <v>7303.0470979519923</v>
      </c>
      <c r="F25" s="130">
        <v>211.39453781665532</v>
      </c>
      <c r="G25" s="130">
        <v>6420.82</v>
      </c>
      <c r="H25" s="130">
        <f>G25/G42*1000</f>
        <v>203.99745830023826</v>
      </c>
      <c r="I25" s="130">
        <v>1659.52</v>
      </c>
      <c r="J25" s="130">
        <f>I25/I42*1000</f>
        <v>203.99754148740013</v>
      </c>
      <c r="K25" s="130">
        <v>50.27</v>
      </c>
      <c r="L25" s="130">
        <v>74.150000000000006</v>
      </c>
      <c r="M25" s="130">
        <v>121.38</v>
      </c>
      <c r="N25" s="130">
        <f>M25/M42*1000</f>
        <v>204</v>
      </c>
      <c r="O25" s="54">
        <v>8890.2560481736564</v>
      </c>
      <c r="P25" s="131">
        <f t="shared" si="0"/>
        <v>8201.7199999999993</v>
      </c>
      <c r="Q25" s="131">
        <f t="shared" si="1"/>
        <v>8201.7199999999993</v>
      </c>
      <c r="R25" s="129">
        <f>Q25/Q42*1000</f>
        <v>203.99751274717073</v>
      </c>
    </row>
    <row r="26" spans="1:18" ht="18" x14ac:dyDescent="0.35">
      <c r="A26" s="64" t="s">
        <v>63</v>
      </c>
      <c r="B26" s="55" t="s">
        <v>65</v>
      </c>
      <c r="C26" s="54">
        <v>329.4</v>
      </c>
      <c r="D26" s="54">
        <v>7.36</v>
      </c>
      <c r="E26" s="130">
        <v>1103.6000476814036</v>
      </c>
      <c r="F26" s="130">
        <v>31.944888056311797</v>
      </c>
      <c r="G26" s="130">
        <v>1538.54</v>
      </c>
      <c r="H26" s="130">
        <f>G26/G42*1000</f>
        <v>48.881334392374903</v>
      </c>
      <c r="I26" s="130">
        <v>397.65</v>
      </c>
      <c r="J26" s="130">
        <f>I26/I42*1000</f>
        <v>48.881376767055933</v>
      </c>
      <c r="K26" s="130">
        <v>4.99</v>
      </c>
      <c r="L26" s="130">
        <v>7.36</v>
      </c>
      <c r="M26" s="130">
        <v>29.08</v>
      </c>
      <c r="N26" s="130">
        <f>M26/M42*1000+0.01</f>
        <v>48.883949579831928</v>
      </c>
      <c r="O26" s="54">
        <v>1343.4511467724149</v>
      </c>
      <c r="P26" s="131">
        <f t="shared" si="0"/>
        <v>1965.27</v>
      </c>
      <c r="Q26" s="131">
        <f t="shared" si="1"/>
        <v>1965.27</v>
      </c>
      <c r="R26" s="129">
        <f>Q26/Q42*1000</f>
        <v>48.881233677403308</v>
      </c>
    </row>
    <row r="27" spans="1:18" ht="18" x14ac:dyDescent="0.35">
      <c r="A27" s="64" t="s">
        <v>149</v>
      </c>
      <c r="B27" s="55" t="s">
        <v>66</v>
      </c>
      <c r="C27" s="54">
        <v>1821.53</v>
      </c>
      <c r="D27" s="54">
        <v>40.67</v>
      </c>
      <c r="E27" s="130">
        <v>4089.9807236778006</v>
      </c>
      <c r="F27" s="130">
        <v>118.38888249856139</v>
      </c>
      <c r="G27" s="130">
        <f>G28+G29</f>
        <v>3245.91</v>
      </c>
      <c r="H27" s="130">
        <f>H28+H29</f>
        <v>103.12660841938046</v>
      </c>
      <c r="I27" s="130">
        <f>I28+I29</f>
        <v>838.93999999999994</v>
      </c>
      <c r="J27" s="130">
        <f>J28+J29</f>
        <v>103.12722802704363</v>
      </c>
      <c r="K27" s="130">
        <v>27.57</v>
      </c>
      <c r="L27" s="130">
        <v>40.67</v>
      </c>
      <c r="M27" s="130">
        <f>M28+M29</f>
        <v>61.36</v>
      </c>
      <c r="N27" s="130">
        <f>N28+N29-0.01</f>
        <v>103.12605042016806</v>
      </c>
      <c r="O27" s="54">
        <v>4978.8773609640157</v>
      </c>
      <c r="P27" s="131">
        <f t="shared" si="0"/>
        <v>4146.21</v>
      </c>
      <c r="Q27" s="131">
        <f t="shared" si="1"/>
        <v>4146.21</v>
      </c>
      <c r="R27" s="129">
        <f>Q27/Q42*1000</f>
        <v>103.12672553165029</v>
      </c>
    </row>
    <row r="28" spans="1:18" ht="16.5" customHeight="1" x14ac:dyDescent="0.35">
      <c r="A28" s="64" t="s">
        <v>67</v>
      </c>
      <c r="B28" s="55" t="s">
        <v>148</v>
      </c>
      <c r="C28" s="54">
        <v>1705.92</v>
      </c>
      <c r="D28" s="54">
        <v>38.090000000000003</v>
      </c>
      <c r="E28" s="130">
        <v>3425.2107122297944</v>
      </c>
      <c r="F28" s="130">
        <v>99.146400909769127</v>
      </c>
      <c r="G28" s="130">
        <v>2640.33</v>
      </c>
      <c r="H28" s="130">
        <f>G28/G42*1000</f>
        <v>83.886576648133442</v>
      </c>
      <c r="I28" s="130">
        <v>682.42</v>
      </c>
      <c r="J28" s="130">
        <f>I28/I42*1000</f>
        <v>83.886908420405646</v>
      </c>
      <c r="K28" s="130">
        <v>25.82</v>
      </c>
      <c r="L28" s="130">
        <v>38.090000000000003</v>
      </c>
      <c r="M28" s="130">
        <v>49.91</v>
      </c>
      <c r="N28" s="130">
        <f>M28/M42*1000+0.01</f>
        <v>83.892352941176469</v>
      </c>
      <c r="O28" s="54">
        <v>4169.6294494951408</v>
      </c>
      <c r="P28" s="131">
        <f t="shared" si="0"/>
        <v>3372.66</v>
      </c>
      <c r="Q28" s="131">
        <f t="shared" si="1"/>
        <v>3372.66</v>
      </c>
      <c r="R28" s="129">
        <f>Q28/Q42*1000</f>
        <v>83.886581270986198</v>
      </c>
    </row>
    <row r="29" spans="1:18" ht="18" x14ac:dyDescent="0.35">
      <c r="A29" s="64" t="s">
        <v>68</v>
      </c>
      <c r="B29" s="55" t="s">
        <v>65</v>
      </c>
      <c r="C29" s="54">
        <v>115.61</v>
      </c>
      <c r="D29" s="54">
        <v>2.58</v>
      </c>
      <c r="E29" s="130">
        <v>664.7700114480067</v>
      </c>
      <c r="F29" s="130">
        <v>19.242481588792273</v>
      </c>
      <c r="G29" s="130">
        <v>605.58000000000004</v>
      </c>
      <c r="H29" s="130">
        <f>G29/G42*1000</f>
        <v>19.240031771247022</v>
      </c>
      <c r="I29" s="130">
        <v>156.52000000000001</v>
      </c>
      <c r="J29" s="130">
        <f>I29/I42*1000</f>
        <v>19.240319606637986</v>
      </c>
      <c r="K29" s="130">
        <v>1.75</v>
      </c>
      <c r="L29" s="130">
        <v>2.58</v>
      </c>
      <c r="M29" s="130">
        <v>11.45</v>
      </c>
      <c r="N29" s="130">
        <f>M29/M42*1000</f>
        <v>19.243697478991596</v>
      </c>
      <c r="O29" s="54">
        <v>809.2479114688756</v>
      </c>
      <c r="P29" s="131">
        <f t="shared" si="0"/>
        <v>773.55000000000007</v>
      </c>
      <c r="Q29" s="131">
        <f t="shared" si="1"/>
        <v>773.55000000000007</v>
      </c>
      <c r="R29" s="129">
        <f>Q29/Q42*1000</f>
        <v>19.240144260664099</v>
      </c>
    </row>
    <row r="30" spans="1:18" ht="18" x14ac:dyDescent="0.35">
      <c r="A30" s="64" t="s">
        <v>151</v>
      </c>
      <c r="B30" s="55" t="s">
        <v>71</v>
      </c>
      <c r="C30" s="54">
        <v>47.03</v>
      </c>
      <c r="D30" s="54">
        <v>1.05</v>
      </c>
      <c r="E30" s="130">
        <v>0</v>
      </c>
      <c r="F30" s="130">
        <v>0</v>
      </c>
      <c r="G30" s="130"/>
      <c r="H30" s="130">
        <f>H32</f>
        <v>0</v>
      </c>
      <c r="I30" s="130">
        <v>0</v>
      </c>
      <c r="J30" s="130">
        <f>J32</f>
        <v>0</v>
      </c>
      <c r="K30" s="130">
        <v>0.71</v>
      </c>
      <c r="L30" s="130">
        <v>1.05</v>
      </c>
      <c r="M30" s="130">
        <v>0</v>
      </c>
      <c r="N30" s="130">
        <v>0</v>
      </c>
      <c r="O30" s="54">
        <v>0</v>
      </c>
      <c r="P30" s="131">
        <f t="shared" si="0"/>
        <v>0</v>
      </c>
      <c r="Q30" s="131">
        <f t="shared" si="1"/>
        <v>0</v>
      </c>
      <c r="R30" s="129">
        <f>Q30/Q42*1000</f>
        <v>0</v>
      </c>
    </row>
    <row r="31" spans="1:18" ht="22.5" customHeight="1" x14ac:dyDescent="0.35">
      <c r="A31" s="64" t="s">
        <v>72</v>
      </c>
      <c r="B31" s="55" t="s">
        <v>148</v>
      </c>
      <c r="C31" s="54">
        <v>44.79</v>
      </c>
      <c r="D31" s="54">
        <v>1</v>
      </c>
      <c r="E31" s="130">
        <v>0</v>
      </c>
      <c r="F31" s="130">
        <v>0</v>
      </c>
      <c r="G31" s="130">
        <f>G33</f>
        <v>0</v>
      </c>
      <c r="H31" s="130">
        <f>H33</f>
        <v>0</v>
      </c>
      <c r="I31" s="130">
        <v>0</v>
      </c>
      <c r="J31" s="130">
        <v>0</v>
      </c>
      <c r="K31" s="130">
        <v>0.68</v>
      </c>
      <c r="L31" s="130">
        <v>1</v>
      </c>
      <c r="M31" s="130">
        <v>0</v>
      </c>
      <c r="N31" s="130">
        <v>0</v>
      </c>
      <c r="O31" s="54">
        <v>0</v>
      </c>
      <c r="P31" s="131">
        <f t="shared" si="0"/>
        <v>0</v>
      </c>
      <c r="Q31" s="131">
        <f t="shared" si="1"/>
        <v>0</v>
      </c>
      <c r="R31" s="129">
        <f>Q31/Q42*1000</f>
        <v>0</v>
      </c>
    </row>
    <row r="32" spans="1:18" ht="18" x14ac:dyDescent="0.35">
      <c r="A32" s="64" t="s">
        <v>73</v>
      </c>
      <c r="B32" s="55" t="s">
        <v>65</v>
      </c>
      <c r="C32" s="54">
        <v>2.2400000000000002</v>
      </c>
      <c r="D32" s="54">
        <v>0.05</v>
      </c>
      <c r="E32" s="130">
        <v>0</v>
      </c>
      <c r="F32" s="130">
        <v>0</v>
      </c>
      <c r="G32" s="130"/>
      <c r="H32" s="130">
        <f>G32/G42*1000</f>
        <v>0</v>
      </c>
      <c r="I32" s="130">
        <v>0</v>
      </c>
      <c r="J32" s="130">
        <f>I32/I42*1000</f>
        <v>0</v>
      </c>
      <c r="K32" s="130">
        <v>0.03</v>
      </c>
      <c r="L32" s="130">
        <v>0.05</v>
      </c>
      <c r="M32" s="130">
        <v>0</v>
      </c>
      <c r="N32" s="130">
        <v>0</v>
      </c>
      <c r="O32" s="54">
        <v>0</v>
      </c>
      <c r="P32" s="131">
        <f t="shared" si="0"/>
        <v>0</v>
      </c>
      <c r="Q32" s="131">
        <f t="shared" si="1"/>
        <v>0</v>
      </c>
      <c r="R32" s="129">
        <f>Q32/Q42*1000</f>
        <v>0</v>
      </c>
    </row>
    <row r="33" spans="1:18" ht="18" x14ac:dyDescent="0.35">
      <c r="A33" s="64" t="s">
        <v>153</v>
      </c>
      <c r="B33" s="55" t="s">
        <v>154</v>
      </c>
      <c r="C33" s="54"/>
      <c r="D33" s="54"/>
      <c r="E33" s="130">
        <v>0</v>
      </c>
      <c r="F33" s="130">
        <v>0</v>
      </c>
      <c r="G33" s="130">
        <v>0</v>
      </c>
      <c r="H33" s="130">
        <f>G33/G42*1000</f>
        <v>0</v>
      </c>
      <c r="I33" s="130">
        <v>0</v>
      </c>
      <c r="J33" s="130">
        <v>0</v>
      </c>
      <c r="K33" s="130"/>
      <c r="L33" s="130"/>
      <c r="M33" s="130">
        <v>0</v>
      </c>
      <c r="N33" s="130">
        <v>0</v>
      </c>
      <c r="O33" s="54">
        <v>0</v>
      </c>
      <c r="P33" s="131">
        <f t="shared" si="0"/>
        <v>0</v>
      </c>
      <c r="Q33" s="131">
        <f t="shared" si="1"/>
        <v>0</v>
      </c>
      <c r="R33" s="129">
        <f>Q33/Q42*1000</f>
        <v>0</v>
      </c>
    </row>
    <row r="34" spans="1:18" ht="18" x14ac:dyDescent="0.35">
      <c r="A34" s="64" t="s">
        <v>155</v>
      </c>
      <c r="B34" s="55" t="s">
        <v>156</v>
      </c>
      <c r="C34" s="54">
        <v>64797.58</v>
      </c>
      <c r="D34" s="54">
        <v>1446.81</v>
      </c>
      <c r="E34" s="130">
        <v>78326.247044498319</v>
      </c>
      <c r="F34" s="130">
        <v>2267.2373011983182</v>
      </c>
      <c r="G34" s="130">
        <f>G8+G27+G30</f>
        <v>20316.89</v>
      </c>
      <c r="H34" s="130">
        <f>H8+H27+H30+0.01</f>
        <v>645.49293089753769</v>
      </c>
      <c r="I34" s="130">
        <f>I8+I27+I30</f>
        <v>5251.0999999999995</v>
      </c>
      <c r="J34" s="130">
        <f>J8+J27+J30+0.01</f>
        <v>645.49477566072528</v>
      </c>
      <c r="K34" s="130">
        <v>980.82</v>
      </c>
      <c r="L34" s="130">
        <v>1446.81</v>
      </c>
      <c r="M34" s="130">
        <f>M8+M27+M30</f>
        <v>384.06</v>
      </c>
      <c r="N34" s="130">
        <f>N8+N27+N30</f>
        <v>645.4889915966387</v>
      </c>
      <c r="O34" s="54">
        <v>103127.37106018477</v>
      </c>
      <c r="P34" s="131">
        <f t="shared" si="0"/>
        <v>25952.05</v>
      </c>
      <c r="Q34" s="131">
        <f t="shared" si="1"/>
        <v>25952.05</v>
      </c>
      <c r="R34" s="129">
        <f>Q34/Q42*1000</f>
        <v>645.49309787339882</v>
      </c>
    </row>
    <row r="35" spans="1:18" ht="18" x14ac:dyDescent="0.35">
      <c r="A35" s="64" t="s">
        <v>157</v>
      </c>
      <c r="B35" s="55" t="s">
        <v>158</v>
      </c>
      <c r="C35" s="54"/>
      <c r="D35" s="54"/>
      <c r="E35" s="130">
        <v>0</v>
      </c>
      <c r="F35" s="130">
        <v>0</v>
      </c>
      <c r="G35" s="130">
        <v>0</v>
      </c>
      <c r="H35" s="130">
        <v>0</v>
      </c>
      <c r="I35" s="130">
        <v>0</v>
      </c>
      <c r="J35" s="130">
        <v>0</v>
      </c>
      <c r="K35" s="130"/>
      <c r="L35" s="130"/>
      <c r="M35" s="130">
        <v>0</v>
      </c>
      <c r="N35" s="130">
        <v>0</v>
      </c>
      <c r="O35" s="54">
        <v>0</v>
      </c>
      <c r="P35" s="131">
        <f t="shared" si="0"/>
        <v>0</v>
      </c>
      <c r="Q35" s="131">
        <f t="shared" si="1"/>
        <v>0</v>
      </c>
      <c r="R35" s="129">
        <f>Q35/Q42*1000</f>
        <v>0</v>
      </c>
    </row>
    <row r="36" spans="1:18" ht="18" x14ac:dyDescent="0.35">
      <c r="A36" s="64" t="s">
        <v>159</v>
      </c>
      <c r="B36" s="55" t="s">
        <v>362</v>
      </c>
      <c r="C36" s="54"/>
      <c r="D36" s="54"/>
      <c r="E36" s="130">
        <v>0</v>
      </c>
      <c r="F36" s="130">
        <v>0</v>
      </c>
      <c r="G36" s="130">
        <f>G37+G39</f>
        <v>1876.7</v>
      </c>
      <c r="H36" s="130">
        <f>G36/G42*1000</f>
        <v>59.625099285146945</v>
      </c>
      <c r="I36" s="130">
        <f>I37+I39</f>
        <v>485.05079999999998</v>
      </c>
      <c r="J36" s="130">
        <f>I36/I42*1000</f>
        <v>59.625175169022732</v>
      </c>
      <c r="K36" s="130">
        <f>K37+K39</f>
        <v>2191.7910000000002</v>
      </c>
      <c r="L36" s="130">
        <f>K36/K42*1000</f>
        <v>3232.7300884955753</v>
      </c>
      <c r="M36" s="130">
        <f>M39+M37</f>
        <v>35.482599999999998</v>
      </c>
      <c r="N36" s="130">
        <f>M36/M42*1000</f>
        <v>59.634621848739492</v>
      </c>
      <c r="O36" s="54">
        <v>0</v>
      </c>
      <c r="P36" s="131">
        <f t="shared" si="0"/>
        <v>2397.2333999999996</v>
      </c>
      <c r="Q36" s="131">
        <f t="shared" si="1"/>
        <v>2397.2333999999996</v>
      </c>
      <c r="R36" s="129">
        <f>Q36/Q42*1000</f>
        <v>59.625255565228194</v>
      </c>
    </row>
    <row r="37" spans="1:18" ht="18" x14ac:dyDescent="0.35">
      <c r="A37" s="64" t="s">
        <v>79</v>
      </c>
      <c r="B37" s="55" t="s">
        <v>80</v>
      </c>
      <c r="C37" s="54"/>
      <c r="D37" s="54"/>
      <c r="E37" s="130">
        <v>0</v>
      </c>
      <c r="F37" s="130">
        <v>0</v>
      </c>
      <c r="G37" s="130">
        <v>286.27999999999997</v>
      </c>
      <c r="H37" s="130">
        <f>G37/G42*1000</f>
        <v>9.0954725972994428</v>
      </c>
      <c r="I37" s="130">
        <f>I39*0.18</f>
        <v>73.990799999999993</v>
      </c>
      <c r="J37" s="130">
        <f>I37/I42*1000</f>
        <v>9.0953657037492306</v>
      </c>
      <c r="K37" s="130">
        <f>K39*0.18</f>
        <v>334.34100000000001</v>
      </c>
      <c r="L37" s="130">
        <f>K37/K42*1000</f>
        <v>493.12831858407083</v>
      </c>
      <c r="M37" s="130">
        <f>M39*0.18</f>
        <v>5.4125999999999994</v>
      </c>
      <c r="N37" s="130">
        <f>M37/M42*1000</f>
        <v>9.0968067226890739</v>
      </c>
      <c r="O37" s="54">
        <v>0</v>
      </c>
      <c r="P37" s="131">
        <f t="shared" si="0"/>
        <v>365.68339999999995</v>
      </c>
      <c r="Q37" s="131">
        <f t="shared" si="1"/>
        <v>365.68339999999995</v>
      </c>
      <c r="R37" s="129">
        <f>Q37/Q42*1000</f>
        <v>9.095470712597935</v>
      </c>
    </row>
    <row r="38" spans="1:18" ht="18" x14ac:dyDescent="0.35">
      <c r="A38" s="64" t="s">
        <v>81</v>
      </c>
      <c r="B38" s="55" t="s">
        <v>161</v>
      </c>
      <c r="C38" s="54"/>
      <c r="D38" s="54"/>
      <c r="E38" s="130">
        <v>0</v>
      </c>
      <c r="F38" s="130">
        <v>0</v>
      </c>
      <c r="G38" s="130">
        <v>0</v>
      </c>
      <c r="H38" s="130">
        <v>0</v>
      </c>
      <c r="I38" s="130">
        <v>0</v>
      </c>
      <c r="J38" s="130">
        <v>0</v>
      </c>
      <c r="K38" s="130">
        <v>0</v>
      </c>
      <c r="L38" s="130">
        <v>0</v>
      </c>
      <c r="M38" s="130">
        <v>0</v>
      </c>
      <c r="N38" s="130">
        <v>0</v>
      </c>
      <c r="O38" s="54">
        <v>0</v>
      </c>
      <c r="P38" s="131">
        <f t="shared" si="0"/>
        <v>0</v>
      </c>
      <c r="Q38" s="131">
        <f t="shared" si="1"/>
        <v>0</v>
      </c>
      <c r="R38" s="129">
        <f>Q38/Q42*1000</f>
        <v>0</v>
      </c>
    </row>
    <row r="39" spans="1:18" ht="18" x14ac:dyDescent="0.35">
      <c r="A39" s="64" t="s">
        <v>83</v>
      </c>
      <c r="B39" s="55" t="s">
        <v>162</v>
      </c>
      <c r="C39" s="54"/>
      <c r="D39" s="54"/>
      <c r="E39" s="130">
        <v>0</v>
      </c>
      <c r="F39" s="130">
        <v>0</v>
      </c>
      <c r="G39" s="130">
        <v>1590.42</v>
      </c>
      <c r="H39" s="130">
        <f>G39/G42*1000</f>
        <v>50.529626687847504</v>
      </c>
      <c r="I39" s="130">
        <v>411.06</v>
      </c>
      <c r="J39" s="130">
        <f>I39/I42*1000</f>
        <v>50.529809465273509</v>
      </c>
      <c r="K39" s="130">
        <v>1857.45</v>
      </c>
      <c r="L39" s="130">
        <f>K39/K42*1000</f>
        <v>2739.6017699115041</v>
      </c>
      <c r="M39" s="130">
        <v>30.07</v>
      </c>
      <c r="N39" s="130">
        <f>M39/M42*1000-0.01</f>
        <v>50.52781512605042</v>
      </c>
      <c r="O39" s="54">
        <v>0</v>
      </c>
      <c r="P39" s="131">
        <f t="shared" si="0"/>
        <v>2031.55</v>
      </c>
      <c r="Q39" s="131">
        <f t="shared" si="1"/>
        <v>2031.55</v>
      </c>
      <c r="R39" s="129">
        <f>Q39/Q42*1000</f>
        <v>50.529784852630264</v>
      </c>
    </row>
    <row r="40" spans="1:18" ht="18" x14ac:dyDescent="0.35">
      <c r="A40" s="64" t="s">
        <v>85</v>
      </c>
      <c r="B40" s="55" t="s">
        <v>303</v>
      </c>
      <c r="C40" s="54"/>
      <c r="D40" s="54"/>
      <c r="E40" s="130">
        <v>0</v>
      </c>
      <c r="F40" s="130">
        <v>0</v>
      </c>
      <c r="G40" s="130">
        <v>0</v>
      </c>
      <c r="H40" s="130">
        <v>0</v>
      </c>
      <c r="I40" s="130">
        <v>0</v>
      </c>
      <c r="J40" s="130">
        <f>I40/I42*1000</f>
        <v>0</v>
      </c>
      <c r="K40" s="130"/>
      <c r="L40" s="130"/>
      <c r="M40" s="130">
        <v>0</v>
      </c>
      <c r="N40" s="130">
        <f>M40/M42*1000</f>
        <v>0</v>
      </c>
      <c r="O40" s="54">
        <v>0</v>
      </c>
      <c r="P40" s="131">
        <f t="shared" si="0"/>
        <v>0</v>
      </c>
      <c r="Q40" s="131">
        <f t="shared" si="1"/>
        <v>0</v>
      </c>
      <c r="R40" s="129">
        <f>Q40/Q42*1000</f>
        <v>0</v>
      </c>
    </row>
    <row r="41" spans="1:18" ht="18" x14ac:dyDescent="0.35">
      <c r="A41" s="64" t="s">
        <v>163</v>
      </c>
      <c r="B41" s="55" t="s">
        <v>164</v>
      </c>
      <c r="C41" s="54">
        <v>64797.58</v>
      </c>
      <c r="D41" s="54">
        <v>1446.81</v>
      </c>
      <c r="E41" s="130">
        <v>78326.247044498319</v>
      </c>
      <c r="F41" s="130">
        <v>2267.2273011983179</v>
      </c>
      <c r="G41" s="130">
        <f>G34+G36</f>
        <v>22193.59</v>
      </c>
      <c r="H41" s="130">
        <f>H34+H36</f>
        <v>705.11803018268461</v>
      </c>
      <c r="I41" s="130">
        <f>I34+I36</f>
        <v>5736.1507999999994</v>
      </c>
      <c r="J41" s="130">
        <f>J34+J36</f>
        <v>705.11995082974806</v>
      </c>
      <c r="K41" s="130">
        <v>1078.9100000000001</v>
      </c>
      <c r="L41" s="130">
        <v>1591.49</v>
      </c>
      <c r="M41" s="130">
        <f>M34+M36</f>
        <v>419.54259999999999</v>
      </c>
      <c r="N41" s="130">
        <f>N34+N36</f>
        <v>705.12361344537817</v>
      </c>
      <c r="O41" s="54">
        <v>103127.37406018477</v>
      </c>
      <c r="P41" s="131">
        <f t="shared" si="0"/>
        <v>28349.2834</v>
      </c>
      <c r="Q41" s="131">
        <f t="shared" si="1"/>
        <v>28349.2834</v>
      </c>
      <c r="R41" s="129">
        <f>Q41/Q42*1000</f>
        <v>705.11835343862708</v>
      </c>
    </row>
    <row r="42" spans="1:18" ht="15.75" customHeight="1" x14ac:dyDescent="0.35">
      <c r="A42" s="64">
        <v>9</v>
      </c>
      <c r="B42" s="55" t="s">
        <v>360</v>
      </c>
      <c r="C42" s="54">
        <v>44786.45</v>
      </c>
      <c r="D42" s="54"/>
      <c r="E42" s="130">
        <v>34547</v>
      </c>
      <c r="F42" s="130">
        <v>0</v>
      </c>
      <c r="G42" s="130">
        <v>31475</v>
      </c>
      <c r="H42" s="132" t="s">
        <v>35</v>
      </c>
      <c r="I42" s="130">
        <v>8135</v>
      </c>
      <c r="J42" s="132" t="s">
        <v>35</v>
      </c>
      <c r="K42" s="130">
        <v>678</v>
      </c>
      <c r="L42" s="130"/>
      <c r="M42" s="130">
        <v>595</v>
      </c>
      <c r="N42" s="132" t="s">
        <v>35</v>
      </c>
      <c r="O42" s="54"/>
      <c r="P42" s="131">
        <f t="shared" si="0"/>
        <v>40205</v>
      </c>
      <c r="Q42" s="131">
        <f t="shared" si="1"/>
        <v>40205</v>
      </c>
      <c r="R42" s="129"/>
    </row>
    <row r="43" spans="1:18" ht="18" x14ac:dyDescent="0.35">
      <c r="A43" s="64">
        <v>10</v>
      </c>
      <c r="B43" s="55" t="s">
        <v>358</v>
      </c>
      <c r="C43" s="54"/>
      <c r="D43" s="54">
        <v>1446.81</v>
      </c>
      <c r="E43" s="130">
        <v>0</v>
      </c>
      <c r="F43" s="130">
        <v>2267.2273011983179</v>
      </c>
      <c r="G43" s="132" t="s">
        <v>35</v>
      </c>
      <c r="H43" s="130">
        <f>H41</f>
        <v>705.11803018268461</v>
      </c>
      <c r="I43" s="132" t="s">
        <v>35</v>
      </c>
      <c r="J43" s="130">
        <f>J41</f>
        <v>705.11995082974806</v>
      </c>
      <c r="K43" s="130"/>
      <c r="L43" s="130">
        <v>1591.49</v>
      </c>
      <c r="M43" s="132" t="s">
        <v>35</v>
      </c>
      <c r="N43" s="130">
        <f>N41</f>
        <v>705.12361344537817</v>
      </c>
      <c r="O43" s="54">
        <v>0</v>
      </c>
      <c r="P43" s="129"/>
      <c r="Q43" s="129"/>
      <c r="R43" s="129"/>
    </row>
    <row r="44" spans="1:18" ht="18" hidden="1" x14ac:dyDescent="0.35">
      <c r="A44" s="64" t="s">
        <v>165</v>
      </c>
      <c r="B44" s="55" t="s">
        <v>166</v>
      </c>
      <c r="C44" s="54"/>
      <c r="D44" s="54">
        <v>1110.27</v>
      </c>
      <c r="E44" s="130">
        <v>49907.870589102793</v>
      </c>
      <c r="F44" s="130">
        <v>1444.6368885605928</v>
      </c>
      <c r="G44" s="132">
        <v>49907.870589102793</v>
      </c>
      <c r="H44" s="130">
        <v>1444.6368885605928</v>
      </c>
      <c r="I44" s="132">
        <v>17172.550882001957</v>
      </c>
      <c r="J44" s="130">
        <v>2452.170624304149</v>
      </c>
      <c r="K44" s="130"/>
      <c r="L44" s="130">
        <v>1110.27</v>
      </c>
      <c r="M44" s="132">
        <v>1239.0273220193383</v>
      </c>
      <c r="N44" s="130">
        <v>2452.1730605982648</v>
      </c>
      <c r="O44" s="54">
        <v>68319.448793124087</v>
      </c>
      <c r="P44" s="129"/>
      <c r="Q44" s="129"/>
      <c r="R44" s="129"/>
    </row>
    <row r="45" spans="1:18" ht="18" hidden="1" x14ac:dyDescent="0.35">
      <c r="A45" s="64" t="s">
        <v>167</v>
      </c>
      <c r="B45" s="55" t="s">
        <v>168</v>
      </c>
      <c r="C45" s="54"/>
      <c r="D45" s="54">
        <v>336.54</v>
      </c>
      <c r="E45" s="130">
        <v>20773.532643727402</v>
      </c>
      <c r="F45" s="130">
        <v>822.60041263772598</v>
      </c>
      <c r="G45" s="132">
        <v>20773.532643727402</v>
      </c>
      <c r="H45" s="130">
        <v>822.60041263772598</v>
      </c>
      <c r="I45" s="132">
        <v>4409.8738832322088</v>
      </c>
      <c r="J45" s="130">
        <v>851.00031730375304</v>
      </c>
      <c r="K45" s="130"/>
      <c r="L45" s="130">
        <v>481.22</v>
      </c>
      <c r="M45" s="132">
        <v>318.18108253397389</v>
      </c>
      <c r="N45" s="130">
        <v>850.99568638936944</v>
      </c>
      <c r="O45" s="54">
        <v>25501.587609493585</v>
      </c>
      <c r="P45" s="129"/>
      <c r="Q45" s="129"/>
      <c r="R45" s="129"/>
    </row>
    <row r="46" spans="1:18" ht="18" hidden="1" x14ac:dyDescent="0.35">
      <c r="A46" s="64" t="s">
        <v>169</v>
      </c>
      <c r="B46" s="55" t="s">
        <v>170</v>
      </c>
      <c r="C46" s="54"/>
      <c r="D46" s="54">
        <v>76.739999999999995</v>
      </c>
      <c r="E46" s="130">
        <v>63.71793935275538</v>
      </c>
      <c r="F46" s="130">
        <v>63.718220391799527</v>
      </c>
      <c r="G46" s="132">
        <v>63.71793935275538</v>
      </c>
      <c r="H46" s="130">
        <v>63.718220391799527</v>
      </c>
      <c r="I46" s="132">
        <v>74.236867169535373</v>
      </c>
      <c r="J46" s="130">
        <v>74.236867169535373</v>
      </c>
      <c r="K46" s="130"/>
      <c r="L46" s="130">
        <v>69.760000000000005</v>
      </c>
      <c r="M46" s="132">
        <v>74.236776388072371</v>
      </c>
      <c r="N46" s="130">
        <v>74.236990248668178</v>
      </c>
      <c r="O46" s="54">
        <v>66.247637366634677</v>
      </c>
      <c r="P46" s="129"/>
      <c r="Q46" s="129"/>
      <c r="R46" s="129"/>
    </row>
    <row r="47" spans="1:18" ht="18" hidden="1" x14ac:dyDescent="0.35">
      <c r="A47" s="64" t="s">
        <v>171</v>
      </c>
      <c r="B47" s="55" t="s">
        <v>172</v>
      </c>
      <c r="C47" s="54"/>
      <c r="D47" s="54">
        <v>23.26</v>
      </c>
      <c r="E47" s="130">
        <v>36.28206064724462</v>
      </c>
      <c r="F47" s="130">
        <v>36.281779608200473</v>
      </c>
      <c r="G47" s="132">
        <v>36.28206064724462</v>
      </c>
      <c r="H47" s="130">
        <v>36.281779608200473</v>
      </c>
      <c r="I47" s="132">
        <v>25.763132830464627</v>
      </c>
      <c r="J47" s="130">
        <v>25.763132830464627</v>
      </c>
      <c r="K47" s="130"/>
      <c r="L47" s="130">
        <v>30.24</v>
      </c>
      <c r="M47" s="132">
        <v>25.763223611927629</v>
      </c>
      <c r="N47" s="130">
        <v>25.763009751331822</v>
      </c>
      <c r="O47" s="54">
        <v>33.752362633365323</v>
      </c>
      <c r="P47" s="129"/>
      <c r="Q47" s="129"/>
      <c r="R47" s="129"/>
    </row>
    <row r="48" spans="1:18" ht="18.75" hidden="1" customHeight="1" x14ac:dyDescent="0.35">
      <c r="A48" s="64" t="s">
        <v>173</v>
      </c>
      <c r="B48" s="55" t="s">
        <v>174</v>
      </c>
      <c r="C48" s="54">
        <v>44786.45</v>
      </c>
      <c r="D48" s="54"/>
      <c r="E48" s="130">
        <v>34547</v>
      </c>
      <c r="F48" s="130">
        <v>0</v>
      </c>
      <c r="G48" s="132">
        <v>34547</v>
      </c>
      <c r="H48" s="130">
        <v>0</v>
      </c>
      <c r="I48" s="132">
        <v>7003</v>
      </c>
      <c r="J48" s="130">
        <v>0</v>
      </c>
      <c r="K48" s="130">
        <v>678</v>
      </c>
      <c r="L48" s="130"/>
      <c r="M48" s="132">
        <v>505.27727505376345</v>
      </c>
      <c r="N48" s="130">
        <v>0</v>
      </c>
      <c r="O48" s="54">
        <v>42055.277275053762</v>
      </c>
      <c r="P48" s="129"/>
      <c r="Q48" s="129"/>
      <c r="R48" s="129"/>
    </row>
    <row r="49" spans="1:18" ht="18" hidden="1" x14ac:dyDescent="0.35">
      <c r="A49" s="64" t="s">
        <v>175</v>
      </c>
      <c r="B49" s="55" t="s">
        <v>176</v>
      </c>
      <c r="C49" s="54"/>
      <c r="D49" s="54"/>
      <c r="E49" s="130">
        <v>0</v>
      </c>
      <c r="F49" s="130">
        <v>2720.6827614379818</v>
      </c>
      <c r="G49" s="132">
        <v>0</v>
      </c>
      <c r="H49" s="130">
        <v>2720.6827614379818</v>
      </c>
      <c r="I49" s="132">
        <v>0</v>
      </c>
      <c r="J49" s="130">
        <v>0</v>
      </c>
      <c r="K49" s="130"/>
      <c r="L49" s="130"/>
      <c r="M49" s="132">
        <v>0</v>
      </c>
      <c r="N49" s="130">
        <v>0</v>
      </c>
      <c r="O49" s="54"/>
      <c r="P49" s="129"/>
      <c r="Q49" s="129"/>
      <c r="R49" s="129"/>
    </row>
    <row r="50" spans="1:18" ht="21" customHeight="1" x14ac:dyDescent="0.35">
      <c r="A50" s="133">
        <v>11</v>
      </c>
      <c r="B50" s="55" t="s">
        <v>359</v>
      </c>
      <c r="C50" s="54"/>
      <c r="D50" s="54">
        <v>1736.17</v>
      </c>
      <c r="E50" s="130">
        <v>0</v>
      </c>
      <c r="F50" s="130">
        <v>2720.6847614379822</v>
      </c>
      <c r="G50" s="132" t="s">
        <v>35</v>
      </c>
      <c r="H50" s="130">
        <f>H43*1.2</f>
        <v>846.14163621922148</v>
      </c>
      <c r="I50" s="132" t="s">
        <v>35</v>
      </c>
      <c r="J50" s="130">
        <f>J43*1.2</f>
        <v>846.14394099569768</v>
      </c>
      <c r="K50" s="130"/>
      <c r="L50" s="130">
        <v>1909.79</v>
      </c>
      <c r="M50" s="132" t="s">
        <v>35</v>
      </c>
      <c r="N50" s="130">
        <f>N43*1.2-0.01</f>
        <v>846.13833613445377</v>
      </c>
      <c r="O50" s="54">
        <v>2942.633539558235</v>
      </c>
      <c r="P50" s="129"/>
      <c r="Q50" s="129"/>
      <c r="R50" s="129"/>
    </row>
    <row r="51" spans="1:18" ht="18" hidden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8" ht="18" hidden="1" x14ac:dyDescent="0.35">
      <c r="A52" s="96" t="s">
        <v>310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2"/>
    </row>
    <row r="53" spans="1:18" ht="0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8" ht="23.25" customHeight="1" x14ac:dyDescent="0.35">
      <c r="A54" s="96" t="s">
        <v>369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2"/>
    </row>
    <row r="55" spans="1:18" ht="18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8" ht="18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8" ht="18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8" ht="18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8" ht="18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8" ht="18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8" ht="18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</sheetData>
  <mergeCells count="17">
    <mergeCell ref="F1:H1"/>
    <mergeCell ref="M1:O1"/>
    <mergeCell ref="A2:O2"/>
    <mergeCell ref="A4:A6"/>
    <mergeCell ref="B4:B6"/>
    <mergeCell ref="C4:D4"/>
    <mergeCell ref="E4:F4"/>
    <mergeCell ref="K4:L4"/>
    <mergeCell ref="A52:N52"/>
    <mergeCell ref="A54:N54"/>
    <mergeCell ref="O4:O5"/>
    <mergeCell ref="C5:D5"/>
    <mergeCell ref="E5:F5"/>
    <mergeCell ref="K5:L5"/>
    <mergeCell ref="M4:N5"/>
    <mergeCell ref="I4:J5"/>
    <mergeCell ref="G4:H5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07D3-1376-49C2-A906-A5162E8CDDCE}">
  <dimension ref="A1:S61"/>
  <sheetViews>
    <sheetView zoomScale="80" zoomScaleNormal="80" workbookViewId="0">
      <selection activeCell="J63" sqref="J63"/>
    </sheetView>
  </sheetViews>
  <sheetFormatPr defaultRowHeight="14.4" x14ac:dyDescent="0.3"/>
  <cols>
    <col min="1" max="1" width="7.109375" customWidth="1"/>
    <col min="2" max="2" width="80.21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8.7773437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8.33203125" customWidth="1"/>
    <col min="15" max="15" width="12.6640625" hidden="1" customWidth="1"/>
    <col min="16" max="16" width="9.21875" hidden="1" customWidth="1"/>
    <col min="17" max="17" width="14.6640625" hidden="1" customWidth="1"/>
    <col min="18" max="18" width="12.33203125" hidden="1" customWidth="1"/>
    <col min="19" max="19" width="14.44140625" hidden="1" customWidth="1"/>
  </cols>
  <sheetData>
    <row r="1" spans="1:19" ht="76.5" customHeight="1" x14ac:dyDescent="0.3">
      <c r="F1" s="72"/>
      <c r="G1" s="72"/>
      <c r="H1" s="72"/>
      <c r="M1" s="73" t="s">
        <v>318</v>
      </c>
      <c r="N1" s="73"/>
      <c r="O1" s="73"/>
    </row>
    <row r="2" spans="1:19" ht="36.75" customHeight="1" x14ac:dyDescent="0.3">
      <c r="A2" s="74" t="s">
        <v>305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9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9" ht="14.25" customHeight="1" x14ac:dyDescent="0.3">
      <c r="A4" s="107" t="s">
        <v>323</v>
      </c>
      <c r="B4" s="104" t="s">
        <v>133</v>
      </c>
      <c r="C4" s="67" t="s">
        <v>290</v>
      </c>
      <c r="D4" s="67"/>
      <c r="E4" s="67" t="s">
        <v>291</v>
      </c>
      <c r="F4" s="67"/>
      <c r="G4" s="68" t="s">
        <v>300</v>
      </c>
      <c r="H4" s="69"/>
      <c r="I4" s="68" t="s">
        <v>307</v>
      </c>
      <c r="J4" s="69"/>
      <c r="K4" s="67" t="s">
        <v>290</v>
      </c>
      <c r="L4" s="67"/>
      <c r="M4" s="68" t="s">
        <v>308</v>
      </c>
      <c r="N4" s="69"/>
      <c r="O4" s="97" t="s">
        <v>292</v>
      </c>
      <c r="P4" s="53"/>
      <c r="Q4" s="53"/>
      <c r="R4" s="53"/>
      <c r="S4" s="53"/>
    </row>
    <row r="5" spans="1:19" ht="29.4" customHeight="1" x14ac:dyDescent="0.3">
      <c r="A5" s="108"/>
      <c r="B5" s="105"/>
      <c r="C5" s="67" t="s">
        <v>293</v>
      </c>
      <c r="D5" s="67"/>
      <c r="E5" s="67" t="s">
        <v>300</v>
      </c>
      <c r="F5" s="67"/>
      <c r="G5" s="70"/>
      <c r="H5" s="71"/>
      <c r="I5" s="70"/>
      <c r="J5" s="71"/>
      <c r="K5" s="67" t="s">
        <v>294</v>
      </c>
      <c r="L5" s="67"/>
      <c r="M5" s="70"/>
      <c r="N5" s="71"/>
      <c r="O5" s="97"/>
      <c r="P5" s="53"/>
      <c r="Q5" s="53"/>
      <c r="R5" s="53"/>
      <c r="S5" s="53"/>
    </row>
    <row r="6" spans="1:19" ht="24.75" customHeight="1" x14ac:dyDescent="0.35">
      <c r="A6" s="109"/>
      <c r="B6" s="106"/>
      <c r="C6" s="54" t="s">
        <v>135</v>
      </c>
      <c r="D6" s="54" t="s">
        <v>134</v>
      </c>
      <c r="E6" s="54" t="s">
        <v>135</v>
      </c>
      <c r="F6" s="54" t="s">
        <v>134</v>
      </c>
      <c r="G6" s="55" t="s">
        <v>313</v>
      </c>
      <c r="H6" s="54" t="s">
        <v>357</v>
      </c>
      <c r="I6" s="54" t="s">
        <v>313</v>
      </c>
      <c r="J6" s="54" t="s">
        <v>357</v>
      </c>
      <c r="K6" s="54" t="s">
        <v>135</v>
      </c>
      <c r="L6" s="54" t="s">
        <v>134</v>
      </c>
      <c r="M6" s="54" t="s">
        <v>313</v>
      </c>
      <c r="N6" s="54" t="s">
        <v>357</v>
      </c>
      <c r="O6" s="63"/>
      <c r="P6" s="53"/>
      <c r="Q6" s="53"/>
      <c r="R6" s="53"/>
      <c r="S6" s="53"/>
    </row>
    <row r="7" spans="1:19" ht="18" hidden="1" x14ac:dyDescent="0.35">
      <c r="A7" s="56">
        <v>1</v>
      </c>
      <c r="B7" s="56">
        <v>2</v>
      </c>
      <c r="C7" s="56"/>
      <c r="D7" s="56"/>
      <c r="E7" s="56">
        <v>3</v>
      </c>
      <c r="F7" s="56">
        <v>4</v>
      </c>
      <c r="G7" s="56">
        <v>3</v>
      </c>
      <c r="H7" s="56">
        <v>4</v>
      </c>
      <c r="I7" s="56">
        <v>5</v>
      </c>
      <c r="J7" s="56">
        <v>6</v>
      </c>
      <c r="K7" s="56"/>
      <c r="L7" s="56"/>
      <c r="M7" s="56">
        <v>7</v>
      </c>
      <c r="N7" s="56">
        <v>8</v>
      </c>
      <c r="O7" s="63"/>
      <c r="P7" s="53"/>
      <c r="Q7" s="53"/>
      <c r="R7" s="53"/>
      <c r="S7" s="53"/>
    </row>
    <row r="8" spans="1:19" ht="18" x14ac:dyDescent="0.35">
      <c r="A8" s="57">
        <v>1</v>
      </c>
      <c r="B8" s="58" t="s">
        <v>32</v>
      </c>
      <c r="C8" s="59">
        <v>62929.02</v>
      </c>
      <c r="D8" s="59">
        <v>1405.09</v>
      </c>
      <c r="E8" s="43">
        <v>74236.266320820505</v>
      </c>
      <c r="F8" s="43">
        <v>2148.8484186997571</v>
      </c>
      <c r="G8" s="43">
        <f>G9+G20+G21+G24</f>
        <v>3131.8599999999997</v>
      </c>
      <c r="H8" s="43">
        <f>H9+H20+H21+H24</f>
        <v>99.503097696584604</v>
      </c>
      <c r="I8" s="43">
        <f>I9+I20+I21+I24</f>
        <v>809.45</v>
      </c>
      <c r="J8" s="43">
        <f>J9+J20+J21+J24</f>
        <v>99.502151198524885</v>
      </c>
      <c r="K8" s="43">
        <v>952.54</v>
      </c>
      <c r="L8" s="43">
        <v>1405.09</v>
      </c>
      <c r="M8" s="43">
        <f>M9+M20+M21+M24</f>
        <v>59.210000000000008</v>
      </c>
      <c r="N8" s="43">
        <f>N9+N20+N21+N24+0.01</f>
        <v>99.502605042016825</v>
      </c>
      <c r="O8" s="59">
        <v>98148.493699220722</v>
      </c>
      <c r="P8" s="60">
        <f>G8+I8+M8</f>
        <v>4000.5199999999995</v>
      </c>
      <c r="Q8" s="53">
        <f>P8/P42*1000</f>
        <v>99.503046884715829</v>
      </c>
      <c r="R8" s="60">
        <f>G8+I8+M8</f>
        <v>4000.5199999999995</v>
      </c>
      <c r="S8" s="53">
        <f>R8/R42*1000</f>
        <v>99.503046884715829</v>
      </c>
    </row>
    <row r="9" spans="1:19" ht="18" x14ac:dyDescent="0.35">
      <c r="A9" s="57" t="s">
        <v>36</v>
      </c>
      <c r="B9" s="58" t="s">
        <v>37</v>
      </c>
      <c r="C9" s="59">
        <v>52895.94</v>
      </c>
      <c r="D9" s="59">
        <v>1181.07</v>
      </c>
      <c r="E9" s="43">
        <v>53618.754370763585</v>
      </c>
      <c r="F9" s="43">
        <v>1552.0524031251218</v>
      </c>
      <c r="G9" s="43">
        <f>G19</f>
        <v>75.23</v>
      </c>
      <c r="H9" s="43">
        <f>H19</f>
        <v>2.3901509134233518</v>
      </c>
      <c r="I9" s="43">
        <f>I10+I14+I18+I19</f>
        <v>19.440000000000001</v>
      </c>
      <c r="J9" s="43">
        <f>J10+J14+J18+J19</f>
        <v>2.3896742470805163</v>
      </c>
      <c r="K9" s="43">
        <v>800.76</v>
      </c>
      <c r="L9" s="43">
        <v>1181.07</v>
      </c>
      <c r="M9" s="43">
        <f>M10+M14+M18+M19</f>
        <v>1.42</v>
      </c>
      <c r="N9" s="43">
        <f>N10+N14+N18+N19</f>
        <v>2.3865546218487395</v>
      </c>
      <c r="O9" s="59">
        <v>73050.07147387549</v>
      </c>
      <c r="P9" s="60">
        <f t="shared" ref="P9:P40" si="0">G9+I9+M9</f>
        <v>96.09</v>
      </c>
      <c r="Q9" s="53" t="e">
        <f t="shared" ref="Q9:Q42" si="1">P9/P43*1000</f>
        <v>#DIV/0!</v>
      </c>
      <c r="R9" s="60">
        <f>G9+I9+M9</f>
        <v>96.09</v>
      </c>
      <c r="S9" s="53">
        <f>R9/R42*1000</f>
        <v>2.3900012436264149</v>
      </c>
    </row>
    <row r="10" spans="1:19" ht="18.75" customHeight="1" x14ac:dyDescent="0.35">
      <c r="A10" s="61" t="s">
        <v>39</v>
      </c>
      <c r="B10" s="58" t="s">
        <v>138</v>
      </c>
      <c r="C10" s="59">
        <v>49725.05</v>
      </c>
      <c r="D10" s="59">
        <v>1110.27</v>
      </c>
      <c r="E10" s="43">
        <v>49907.870589102793</v>
      </c>
      <c r="F10" s="43">
        <v>1444.6368885605928</v>
      </c>
      <c r="G10" s="43">
        <v>0</v>
      </c>
      <c r="H10" s="43">
        <f>G10/G42*1000</f>
        <v>0</v>
      </c>
      <c r="I10" s="43">
        <v>0</v>
      </c>
      <c r="J10" s="43">
        <f>I10/I42*1000</f>
        <v>0</v>
      </c>
      <c r="K10" s="43">
        <v>752.76</v>
      </c>
      <c r="L10" s="43">
        <v>1110.27</v>
      </c>
      <c r="M10" s="43">
        <v>0</v>
      </c>
      <c r="N10" s="43">
        <v>0</v>
      </c>
      <c r="O10" s="59">
        <v>68319.448793124087</v>
      </c>
      <c r="P10" s="60">
        <f t="shared" si="0"/>
        <v>0</v>
      </c>
      <c r="Q10" s="53" t="e">
        <f t="shared" si="1"/>
        <v>#DIV/0!</v>
      </c>
      <c r="R10" s="60">
        <f t="shared" ref="R10:R41" si="2">G10+I10+M10</f>
        <v>0</v>
      </c>
      <c r="S10" s="53">
        <f>R10/R42*1000</f>
        <v>0</v>
      </c>
    </row>
    <row r="11" spans="1:19" ht="18" hidden="1" x14ac:dyDescent="0.35">
      <c r="A11" s="61"/>
      <c r="B11" s="58" t="s">
        <v>295</v>
      </c>
      <c r="C11" s="59">
        <v>44371.133892228005</v>
      </c>
      <c r="D11" s="59">
        <v>990.72678311080585</v>
      </c>
      <c r="E11" s="43">
        <v>39675.38494593247</v>
      </c>
      <c r="F11" s="43">
        <v>1148.4466074024508</v>
      </c>
      <c r="G11" s="43">
        <v>39675.38494593247</v>
      </c>
      <c r="H11" s="43">
        <v>1148.4466074024508</v>
      </c>
      <c r="I11" s="43">
        <v>13651.705807216009</v>
      </c>
      <c r="J11" s="43">
        <v>1949.4082260768255</v>
      </c>
      <c r="K11" s="43">
        <v>671.71002842055555</v>
      </c>
      <c r="L11" s="43">
        <v>990.72678311080585</v>
      </c>
      <c r="M11" s="43">
        <v>984.96170574653604</v>
      </c>
      <c r="N11" s="43">
        <v>1949.3699718897478</v>
      </c>
      <c r="O11" s="59">
        <v>54312.052458895014</v>
      </c>
      <c r="P11" s="60">
        <f t="shared" si="0"/>
        <v>54312.052458895014</v>
      </c>
      <c r="Q11" s="53" t="e">
        <f t="shared" si="1"/>
        <v>#DIV/0!</v>
      </c>
      <c r="R11" s="60">
        <f t="shared" si="2"/>
        <v>54312.052458895014</v>
      </c>
      <c r="S11" s="53" t="e">
        <f t="shared" ref="S11:S17" si="3">R11/R45*1000</f>
        <v>#DIV/0!</v>
      </c>
    </row>
    <row r="12" spans="1:19" ht="18" hidden="1" x14ac:dyDescent="0.35">
      <c r="A12" s="61"/>
      <c r="B12" s="58" t="s">
        <v>296</v>
      </c>
      <c r="C12" s="59">
        <v>1118.5450005724183</v>
      </c>
      <c r="D12" s="59">
        <v>24.97507710470957</v>
      </c>
      <c r="E12" s="43">
        <v>1216.9208979463872</v>
      </c>
      <c r="F12" s="43">
        <v>35.225081713213505</v>
      </c>
      <c r="G12" s="43">
        <v>1216.9208979463872</v>
      </c>
      <c r="H12" s="43">
        <v>35.225081713213505</v>
      </c>
      <c r="I12" s="43">
        <v>418.72425716994559</v>
      </c>
      <c r="J12" s="43">
        <v>59.792125827494722</v>
      </c>
      <c r="K12" s="43">
        <v>16.933033443523804</v>
      </c>
      <c r="L12" s="43">
        <v>24.97507710470957</v>
      </c>
      <c r="M12" s="43">
        <v>30.210683148589407</v>
      </c>
      <c r="N12" s="43">
        <v>59.790339058752735</v>
      </c>
      <c r="O12" s="59">
        <v>1665.8558382649221</v>
      </c>
      <c r="P12" s="60">
        <f t="shared" si="0"/>
        <v>1665.8558382649221</v>
      </c>
      <c r="Q12" s="53" t="e">
        <f t="shared" si="1"/>
        <v>#DIV/0!</v>
      </c>
      <c r="R12" s="60">
        <f t="shared" si="2"/>
        <v>1665.8558382649221</v>
      </c>
      <c r="S12" s="53" t="e">
        <f t="shared" si="3"/>
        <v>#DIV/0!</v>
      </c>
    </row>
    <row r="13" spans="1:19" ht="18" customHeight="1" x14ac:dyDescent="0.35">
      <c r="A13" s="61" t="s">
        <v>41</v>
      </c>
      <c r="B13" s="58" t="s">
        <v>366</v>
      </c>
      <c r="C13" s="59">
        <v>4235.3711071995804</v>
      </c>
      <c r="D13" s="59">
        <v>94.568139784484558</v>
      </c>
      <c r="E13" s="43">
        <v>9015.5647452239355</v>
      </c>
      <c r="F13" s="43">
        <v>260.96519944492843</v>
      </c>
      <c r="G13" s="43">
        <v>0</v>
      </c>
      <c r="H13" s="43">
        <v>0</v>
      </c>
      <c r="I13" s="43">
        <v>0</v>
      </c>
      <c r="J13" s="43">
        <v>0</v>
      </c>
      <c r="K13" s="43">
        <v>64.116938135920634</v>
      </c>
      <c r="L13" s="43">
        <v>94.568139784484558</v>
      </c>
      <c r="M13" s="43">
        <v>0</v>
      </c>
      <c r="N13" s="43">
        <v>0</v>
      </c>
      <c r="O13" s="59">
        <v>12341.540495964149</v>
      </c>
      <c r="P13" s="60">
        <f t="shared" si="0"/>
        <v>0</v>
      </c>
      <c r="Q13" s="53" t="e">
        <f t="shared" si="1"/>
        <v>#DIV/0!</v>
      </c>
      <c r="R13" s="60">
        <f t="shared" si="2"/>
        <v>0</v>
      </c>
      <c r="S13" s="53" t="e">
        <f t="shared" si="3"/>
        <v>#DIV/0!</v>
      </c>
    </row>
    <row r="14" spans="1:19" ht="19.5" customHeight="1" x14ac:dyDescent="0.35">
      <c r="A14" s="61" t="s">
        <v>43</v>
      </c>
      <c r="B14" s="58" t="s">
        <v>139</v>
      </c>
      <c r="C14" s="59">
        <v>2922.32</v>
      </c>
      <c r="D14" s="59">
        <v>65.25</v>
      </c>
      <c r="E14" s="43">
        <v>3494.3465336017216</v>
      </c>
      <c r="F14" s="43">
        <v>101.14761147427335</v>
      </c>
      <c r="G14" s="43">
        <v>0</v>
      </c>
      <c r="H14" s="43">
        <f>G14/G42*1000</f>
        <v>0</v>
      </c>
      <c r="I14" s="43">
        <v>0</v>
      </c>
      <c r="J14" s="43">
        <f>I14/I42*1000</f>
        <v>0</v>
      </c>
      <c r="K14" s="43">
        <v>44.24</v>
      </c>
      <c r="L14" s="43">
        <v>65.25</v>
      </c>
      <c r="M14" s="43">
        <v>0</v>
      </c>
      <c r="N14" s="43">
        <f>M14/M42*1000</f>
        <v>0</v>
      </c>
      <c r="O14" s="59">
        <v>4253.7910250977184</v>
      </c>
      <c r="P14" s="60">
        <f t="shared" si="0"/>
        <v>0</v>
      </c>
      <c r="Q14" s="53" t="e">
        <f t="shared" si="1"/>
        <v>#DIV/0!</v>
      </c>
      <c r="R14" s="60">
        <f t="shared" si="2"/>
        <v>0</v>
      </c>
      <c r="S14" s="53">
        <f>R14/R42*1000</f>
        <v>0</v>
      </c>
    </row>
    <row r="15" spans="1:19" ht="18" hidden="1" x14ac:dyDescent="0.35">
      <c r="A15" s="61" t="s">
        <v>43</v>
      </c>
      <c r="B15" s="58" t="s">
        <v>140</v>
      </c>
      <c r="C15" s="59"/>
      <c r="D15" s="59"/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/>
      <c r="L15" s="43"/>
      <c r="M15" s="43">
        <v>0</v>
      </c>
      <c r="N15" s="43">
        <v>0</v>
      </c>
      <c r="O15" s="59">
        <v>0</v>
      </c>
      <c r="P15" s="60">
        <f t="shared" si="0"/>
        <v>0</v>
      </c>
      <c r="Q15" s="53" t="e">
        <f t="shared" si="1"/>
        <v>#DIV/0!</v>
      </c>
      <c r="R15" s="60">
        <f t="shared" si="2"/>
        <v>0</v>
      </c>
      <c r="S15" s="53" t="e">
        <f t="shared" si="3"/>
        <v>#DIV/0!</v>
      </c>
    </row>
    <row r="16" spans="1:19" ht="36" hidden="1" x14ac:dyDescent="0.35">
      <c r="A16" s="61" t="s">
        <v>141</v>
      </c>
      <c r="B16" s="58" t="s">
        <v>142</v>
      </c>
      <c r="C16" s="59"/>
      <c r="D16" s="59"/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/>
      <c r="L16" s="43"/>
      <c r="M16" s="43">
        <v>0</v>
      </c>
      <c r="N16" s="43">
        <v>0</v>
      </c>
      <c r="O16" s="59">
        <v>0</v>
      </c>
      <c r="P16" s="60">
        <f t="shared" si="0"/>
        <v>0</v>
      </c>
      <c r="Q16" s="53" t="e">
        <f t="shared" si="1"/>
        <v>#DIV/0!</v>
      </c>
      <c r="R16" s="60">
        <f t="shared" si="2"/>
        <v>0</v>
      </c>
      <c r="S16" s="53" t="e">
        <f t="shared" si="3"/>
        <v>#DIV/0!</v>
      </c>
    </row>
    <row r="17" spans="1:19" ht="18" hidden="1" x14ac:dyDescent="0.35">
      <c r="A17" s="61" t="s">
        <v>45</v>
      </c>
      <c r="B17" s="58" t="s">
        <v>143</v>
      </c>
      <c r="C17" s="59"/>
      <c r="D17" s="59"/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/>
      <c r="L17" s="43"/>
      <c r="M17" s="43">
        <v>0</v>
      </c>
      <c r="N17" s="43">
        <v>0</v>
      </c>
      <c r="O17" s="59">
        <v>0</v>
      </c>
      <c r="P17" s="60">
        <f t="shared" si="0"/>
        <v>0</v>
      </c>
      <c r="Q17" s="53" t="e">
        <f t="shared" si="1"/>
        <v>#DIV/0!</v>
      </c>
      <c r="R17" s="60">
        <f t="shared" si="2"/>
        <v>0</v>
      </c>
      <c r="S17" s="53" t="e">
        <f t="shared" si="3"/>
        <v>#DIV/0!</v>
      </c>
    </row>
    <row r="18" spans="1:19" ht="18" x14ac:dyDescent="0.35">
      <c r="A18" s="61" t="s">
        <v>45</v>
      </c>
      <c r="B18" s="58" t="s">
        <v>46</v>
      </c>
      <c r="C18" s="59">
        <v>110.79</v>
      </c>
      <c r="D18" s="59">
        <v>2.4700000000000002</v>
      </c>
      <c r="E18" s="43">
        <v>109.42068458420637</v>
      </c>
      <c r="F18" s="43">
        <v>3.1672991745797425</v>
      </c>
      <c r="G18" s="43">
        <v>0</v>
      </c>
      <c r="H18" s="43">
        <f>G18/G42*1000</f>
        <v>0</v>
      </c>
      <c r="I18" s="43">
        <v>0</v>
      </c>
      <c r="J18" s="43">
        <f>I18/I42*1000</f>
        <v>0</v>
      </c>
      <c r="K18" s="43">
        <v>1.67</v>
      </c>
      <c r="L18" s="43">
        <v>2.4700000000000002</v>
      </c>
      <c r="M18" s="43">
        <v>0</v>
      </c>
      <c r="N18" s="43">
        <f>M18/M42*1000</f>
        <v>0</v>
      </c>
      <c r="O18" s="59">
        <v>133.20165227659163</v>
      </c>
      <c r="P18" s="60">
        <f t="shared" si="0"/>
        <v>0</v>
      </c>
      <c r="Q18" s="53" t="e">
        <f t="shared" si="1"/>
        <v>#DIV/0!</v>
      </c>
      <c r="R18" s="60">
        <f t="shared" si="2"/>
        <v>0</v>
      </c>
      <c r="S18" s="53">
        <f>R18/R42*1000</f>
        <v>0</v>
      </c>
    </row>
    <row r="19" spans="1:19" ht="18" customHeight="1" x14ac:dyDescent="0.35">
      <c r="A19" s="61" t="s">
        <v>47</v>
      </c>
      <c r="B19" s="58" t="s">
        <v>144</v>
      </c>
      <c r="C19" s="59">
        <v>137.78</v>
      </c>
      <c r="D19" s="59">
        <v>3.08</v>
      </c>
      <c r="E19" s="43">
        <v>164.28241521803835</v>
      </c>
      <c r="F19" s="43">
        <v>4.7553308599310604</v>
      </c>
      <c r="G19" s="43">
        <v>75.23</v>
      </c>
      <c r="H19" s="43">
        <f>G19/G42*1000</f>
        <v>2.3901509134233518</v>
      </c>
      <c r="I19" s="43">
        <v>19.440000000000001</v>
      </c>
      <c r="J19" s="43">
        <f>I19/I42*1000</f>
        <v>2.3896742470805163</v>
      </c>
      <c r="K19" s="43">
        <v>2.09</v>
      </c>
      <c r="L19" s="43">
        <v>3.08</v>
      </c>
      <c r="M19" s="43">
        <v>1.42</v>
      </c>
      <c r="N19" s="43">
        <f>M19/M42*1000</f>
        <v>2.3865546218487395</v>
      </c>
      <c r="O19" s="59">
        <v>413.22000327549733</v>
      </c>
      <c r="P19" s="60">
        <f t="shared" si="0"/>
        <v>96.09</v>
      </c>
      <c r="Q19" s="53" t="e">
        <f t="shared" si="1"/>
        <v>#DIV/0!</v>
      </c>
      <c r="R19" s="60">
        <f t="shared" si="2"/>
        <v>96.09</v>
      </c>
      <c r="S19" s="53">
        <f>R19/R42*1000</f>
        <v>2.3900012436264149</v>
      </c>
    </row>
    <row r="20" spans="1:19" ht="36.75" customHeight="1" x14ac:dyDescent="0.35">
      <c r="A20" s="57" t="s">
        <v>49</v>
      </c>
      <c r="B20" s="58" t="s">
        <v>145</v>
      </c>
      <c r="C20" s="59">
        <v>5240.01</v>
      </c>
      <c r="D20" s="59">
        <v>117</v>
      </c>
      <c r="E20" s="43">
        <v>8034.1019561128678</v>
      </c>
      <c r="F20" s="43">
        <v>232.5557054480235</v>
      </c>
      <c r="G20" s="43">
        <v>1911.31</v>
      </c>
      <c r="H20" s="43">
        <f>G20/G42*1000</f>
        <v>60.724702144559174</v>
      </c>
      <c r="I20" s="43">
        <v>494</v>
      </c>
      <c r="J20" s="43">
        <f>I20/I42*1000-0.01</f>
        <v>60.715261216963739</v>
      </c>
      <c r="K20" s="43">
        <v>79.23</v>
      </c>
      <c r="L20" s="43">
        <v>117</v>
      </c>
      <c r="M20" s="43">
        <v>36.130000000000003</v>
      </c>
      <c r="N20" s="43">
        <f>M20/M42*1000</f>
        <v>60.722689075630257</v>
      </c>
      <c r="O20" s="59">
        <v>9780.1947004323792</v>
      </c>
      <c r="P20" s="60">
        <f t="shared" si="0"/>
        <v>2441.44</v>
      </c>
      <c r="Q20" s="53" t="e">
        <f t="shared" si="1"/>
        <v>#DIV/0!</v>
      </c>
      <c r="R20" s="60">
        <f t="shared" si="2"/>
        <v>2441.44</v>
      </c>
      <c r="S20" s="53">
        <f>R20/R42*1000</f>
        <v>60.724785474443479</v>
      </c>
    </row>
    <row r="21" spans="1:19" ht="18" x14ac:dyDescent="0.35">
      <c r="A21" s="57" t="s">
        <v>51</v>
      </c>
      <c r="B21" s="58" t="s">
        <v>52</v>
      </c>
      <c r="C21" s="59">
        <v>1142.56</v>
      </c>
      <c r="D21" s="59">
        <v>25.51</v>
      </c>
      <c r="E21" s="43">
        <v>4176.7628483106555</v>
      </c>
      <c r="F21" s="43">
        <v>120.90088425364449</v>
      </c>
      <c r="G21" s="43">
        <f>G22+G23</f>
        <v>459.7</v>
      </c>
      <c r="H21" s="43">
        <f>G21/G42*1000</f>
        <v>14.605242255758538</v>
      </c>
      <c r="I21" s="43">
        <f>I22+I23</f>
        <v>118.8</v>
      </c>
      <c r="J21" s="43">
        <f>J22+J23+0.01</f>
        <v>14.61356484326982</v>
      </c>
      <c r="K21" s="43">
        <v>17.29</v>
      </c>
      <c r="L21" s="43">
        <v>25.51</v>
      </c>
      <c r="M21" s="43">
        <f>M22+M23</f>
        <v>8.6900000000000013</v>
      </c>
      <c r="N21" s="43">
        <f>N22+N23-0.01</f>
        <v>14.605042016806724</v>
      </c>
      <c r="O21" s="59">
        <v>5084.5203299667946</v>
      </c>
      <c r="P21" s="60">
        <f t="shared" si="0"/>
        <v>587.19000000000005</v>
      </c>
      <c r="Q21" s="53" t="e">
        <f t="shared" si="1"/>
        <v>#DIV/0!</v>
      </c>
      <c r="R21" s="60">
        <f t="shared" si="2"/>
        <v>587.19000000000005</v>
      </c>
      <c r="S21" s="53">
        <f>R21/R42*1000</f>
        <v>14.604899888073625</v>
      </c>
    </row>
    <row r="22" spans="1:19" ht="18" x14ac:dyDescent="0.35">
      <c r="A22" s="57" t="s">
        <v>53</v>
      </c>
      <c r="B22" s="58" t="s">
        <v>56</v>
      </c>
      <c r="C22" s="59">
        <v>806.66</v>
      </c>
      <c r="D22" s="59">
        <v>18.010000000000002</v>
      </c>
      <c r="E22" s="43">
        <v>2947.4758968707151</v>
      </c>
      <c r="F22" s="43">
        <v>85.317853847532788</v>
      </c>
      <c r="G22" s="43">
        <v>435.25</v>
      </c>
      <c r="H22" s="43">
        <f>G22/G42*1000</f>
        <v>13.828435266084195</v>
      </c>
      <c r="I22" s="43">
        <v>112.49</v>
      </c>
      <c r="J22" s="43">
        <f>I22/I42*1000</f>
        <v>13.827904118008604</v>
      </c>
      <c r="K22" s="43">
        <v>12.21</v>
      </c>
      <c r="L22" s="43">
        <v>18.010000000000002</v>
      </c>
      <c r="M22" s="43">
        <v>8.23</v>
      </c>
      <c r="N22" s="43">
        <f>M22/M42*1000</f>
        <v>13.831932773109244</v>
      </c>
      <c r="O22" s="59">
        <v>3588.0661154562245</v>
      </c>
      <c r="P22" s="60">
        <f t="shared" si="0"/>
        <v>555.97</v>
      </c>
      <c r="Q22" s="53" t="e">
        <f t="shared" si="1"/>
        <v>#DIV/0!</v>
      </c>
      <c r="R22" s="60">
        <f t="shared" si="2"/>
        <v>555.97</v>
      </c>
      <c r="S22" s="53">
        <f>R22/R42*1000</f>
        <v>13.828379554781744</v>
      </c>
    </row>
    <row r="23" spans="1:19" ht="18" x14ac:dyDescent="0.35">
      <c r="A23" s="57" t="s">
        <v>55</v>
      </c>
      <c r="B23" s="58" t="s">
        <v>311</v>
      </c>
      <c r="C23" s="59">
        <v>335.9</v>
      </c>
      <c r="D23" s="59">
        <v>7.5</v>
      </c>
      <c r="E23" s="43">
        <v>1229.286951439941</v>
      </c>
      <c r="F23" s="43">
        <v>35.583030406111703</v>
      </c>
      <c r="G23" s="43">
        <v>24.45</v>
      </c>
      <c r="H23" s="43">
        <f>G23/G42*1000</f>
        <v>0.77680698967434469</v>
      </c>
      <c r="I23" s="43">
        <v>6.31</v>
      </c>
      <c r="J23" s="43">
        <f>I23/I42*1000</f>
        <v>0.77566072526121688</v>
      </c>
      <c r="K23" s="43">
        <v>5.08</v>
      </c>
      <c r="L23" s="43">
        <v>7.5</v>
      </c>
      <c r="M23" s="43">
        <v>0.46</v>
      </c>
      <c r="N23" s="43">
        <f>M23/M42*1000+0.01</f>
        <v>0.78310924369747903</v>
      </c>
      <c r="O23" s="59">
        <v>1496.4542145105709</v>
      </c>
      <c r="P23" s="60">
        <f t="shared" si="0"/>
        <v>31.22</v>
      </c>
      <c r="Q23" s="53" t="e">
        <f t="shared" si="1"/>
        <v>#DIV/0!</v>
      </c>
      <c r="R23" s="60">
        <f t="shared" si="2"/>
        <v>31.22</v>
      </c>
      <c r="S23" s="53">
        <f>R23/R42*1000</f>
        <v>0.77652033329187908</v>
      </c>
    </row>
    <row r="24" spans="1:19" ht="18" x14ac:dyDescent="0.35">
      <c r="A24" s="57" t="s">
        <v>59</v>
      </c>
      <c r="B24" s="58" t="s">
        <v>60</v>
      </c>
      <c r="C24" s="59">
        <v>3650.51</v>
      </c>
      <c r="D24" s="59">
        <v>81.510000000000005</v>
      </c>
      <c r="E24" s="43">
        <v>8406.6471456333948</v>
      </c>
      <c r="F24" s="43">
        <v>243.33942587296713</v>
      </c>
      <c r="G24" s="43">
        <f>G25+G26</f>
        <v>685.62000000000012</v>
      </c>
      <c r="H24" s="43">
        <f>H25+H26</f>
        <v>21.783002382843527</v>
      </c>
      <c r="I24" s="43">
        <f>I25+I26</f>
        <v>177.20999999999998</v>
      </c>
      <c r="J24" s="43">
        <f>J25+J26</f>
        <v>21.783650891210815</v>
      </c>
      <c r="K24" s="43">
        <v>55.26</v>
      </c>
      <c r="L24" s="43">
        <v>81.510000000000005</v>
      </c>
      <c r="M24" s="43">
        <f>M25+M26</f>
        <v>12.97</v>
      </c>
      <c r="N24" s="43">
        <f>N25+N26</f>
        <v>21.778319327731094</v>
      </c>
      <c r="O24" s="59">
        <v>10233.707024380214</v>
      </c>
      <c r="P24" s="60">
        <f t="shared" si="0"/>
        <v>875.80000000000018</v>
      </c>
      <c r="Q24" s="53" t="e">
        <f t="shared" si="1"/>
        <v>#DIV/0!</v>
      </c>
      <c r="R24" s="60">
        <f t="shared" si="2"/>
        <v>875.80000000000018</v>
      </c>
      <c r="S24" s="53">
        <f>R24/R42*1000</f>
        <v>21.783360278572324</v>
      </c>
    </row>
    <row r="25" spans="1:19" ht="20.25" customHeight="1" x14ac:dyDescent="0.35">
      <c r="A25" s="57" t="s">
        <v>61</v>
      </c>
      <c r="B25" s="58" t="s">
        <v>148</v>
      </c>
      <c r="C25" s="59">
        <v>3321.11</v>
      </c>
      <c r="D25" s="59">
        <v>74.150000000000006</v>
      </c>
      <c r="E25" s="43">
        <v>7303.0470979519923</v>
      </c>
      <c r="F25" s="43">
        <v>211.39453781665532</v>
      </c>
      <c r="G25" s="43">
        <v>553.07000000000005</v>
      </c>
      <c r="H25" s="43">
        <f>G25/G42*1000</f>
        <v>17.571723590150913</v>
      </c>
      <c r="I25" s="43">
        <v>142.94999999999999</v>
      </c>
      <c r="J25" s="43">
        <f>I25/I42*1000</f>
        <v>17.572218807621386</v>
      </c>
      <c r="K25" s="43">
        <v>50.27</v>
      </c>
      <c r="L25" s="43">
        <v>74.150000000000006</v>
      </c>
      <c r="M25" s="43">
        <v>10.46</v>
      </c>
      <c r="N25" s="43">
        <f>M25/M42*1000-0.01</f>
        <v>17.569831932773109</v>
      </c>
      <c r="O25" s="59">
        <v>8890.2560481736564</v>
      </c>
      <c r="P25" s="60">
        <f t="shared" si="0"/>
        <v>706.48</v>
      </c>
      <c r="Q25" s="53" t="e">
        <f t="shared" si="1"/>
        <v>#DIV/0!</v>
      </c>
      <c r="R25" s="60">
        <f t="shared" si="2"/>
        <v>706.48</v>
      </c>
      <c r="S25" s="53">
        <f>R25/R42*1000</f>
        <v>17.571943788086056</v>
      </c>
    </row>
    <row r="26" spans="1:19" ht="18" x14ac:dyDescent="0.35">
      <c r="A26" s="57" t="s">
        <v>63</v>
      </c>
      <c r="B26" s="58" t="s">
        <v>65</v>
      </c>
      <c r="C26" s="59">
        <v>329.4</v>
      </c>
      <c r="D26" s="59">
        <v>7.36</v>
      </c>
      <c r="E26" s="43">
        <v>1103.6000476814036</v>
      </c>
      <c r="F26" s="43">
        <v>31.944888056311797</v>
      </c>
      <c r="G26" s="43">
        <v>132.55000000000001</v>
      </c>
      <c r="H26" s="43">
        <f>G26/G42*1000</f>
        <v>4.2112787926926138</v>
      </c>
      <c r="I26" s="43">
        <v>34.26</v>
      </c>
      <c r="J26" s="43">
        <f>I26/I42*1000</f>
        <v>4.2114320835894281</v>
      </c>
      <c r="K26" s="43">
        <v>4.99</v>
      </c>
      <c r="L26" s="43">
        <v>7.36</v>
      </c>
      <c r="M26" s="43">
        <v>2.5099999999999998</v>
      </c>
      <c r="N26" s="43">
        <f>M26/M42*1000-0.01</f>
        <v>4.2084873949579835</v>
      </c>
      <c r="O26" s="59">
        <v>1343.4511467724149</v>
      </c>
      <c r="P26" s="60">
        <f t="shared" si="0"/>
        <v>169.32</v>
      </c>
      <c r="Q26" s="53" t="e">
        <f t="shared" si="1"/>
        <v>#DIV/0!</v>
      </c>
      <c r="R26" s="60">
        <f t="shared" si="2"/>
        <v>169.32</v>
      </c>
      <c r="S26" s="53">
        <f>R26/R42*1000</f>
        <v>4.2114164904862577</v>
      </c>
    </row>
    <row r="27" spans="1:19" ht="18" x14ac:dyDescent="0.35">
      <c r="A27" s="57" t="s">
        <v>149</v>
      </c>
      <c r="B27" s="58" t="s">
        <v>66</v>
      </c>
      <c r="C27" s="59">
        <v>1821.53</v>
      </c>
      <c r="D27" s="59">
        <v>40.67</v>
      </c>
      <c r="E27" s="43">
        <v>4089.9807236778006</v>
      </c>
      <c r="F27" s="43">
        <v>118.38888249856139</v>
      </c>
      <c r="G27" s="43">
        <f>G28+G29</f>
        <v>286.94</v>
      </c>
      <c r="H27" s="43">
        <f>H28+H29</f>
        <v>9.1164416203335978</v>
      </c>
      <c r="I27" s="43">
        <f>I28+I29</f>
        <v>74.16</v>
      </c>
      <c r="J27" s="43">
        <f>J28+J29</f>
        <v>9.1161647203441909</v>
      </c>
      <c r="K27" s="43">
        <v>27.57</v>
      </c>
      <c r="L27" s="43">
        <v>40.67</v>
      </c>
      <c r="M27" s="43">
        <f>M28+M29</f>
        <v>5.42</v>
      </c>
      <c r="N27" s="43">
        <f>N28+N29+0.01</f>
        <v>9.1292436974789908</v>
      </c>
      <c r="O27" s="59">
        <v>4978.8773609640157</v>
      </c>
      <c r="P27" s="60">
        <f t="shared" si="0"/>
        <v>366.52000000000004</v>
      </c>
      <c r="Q27" s="53" t="e">
        <f t="shared" si="1"/>
        <v>#DIV/0!</v>
      </c>
      <c r="R27" s="60">
        <f t="shared" si="2"/>
        <v>366.52000000000004</v>
      </c>
      <c r="S27" s="53">
        <f>R27/R42*1000</f>
        <v>9.1162790697674438</v>
      </c>
    </row>
    <row r="28" spans="1:19" ht="16.5" customHeight="1" x14ac:dyDescent="0.35">
      <c r="A28" s="57" t="s">
        <v>67</v>
      </c>
      <c r="B28" s="58" t="s">
        <v>148</v>
      </c>
      <c r="C28" s="59">
        <v>1705.92</v>
      </c>
      <c r="D28" s="59">
        <v>38.090000000000003</v>
      </c>
      <c r="E28" s="43">
        <v>3425.2107122297944</v>
      </c>
      <c r="F28" s="43">
        <v>99.146400909769127</v>
      </c>
      <c r="G28" s="43">
        <v>227.43</v>
      </c>
      <c r="H28" s="43">
        <f>G28/G42*1000</f>
        <v>7.2257347100873712</v>
      </c>
      <c r="I28" s="43">
        <v>58.78</v>
      </c>
      <c r="J28" s="43">
        <f>I28/I42*1000</f>
        <v>7.2255685310387214</v>
      </c>
      <c r="K28" s="43">
        <v>25.82</v>
      </c>
      <c r="L28" s="43">
        <v>38.090000000000003</v>
      </c>
      <c r="M28" s="43">
        <v>4.3</v>
      </c>
      <c r="N28" s="43">
        <f>M28/M42*1000</f>
        <v>7.2268907563025202</v>
      </c>
      <c r="O28" s="59">
        <v>4169.6294494951408</v>
      </c>
      <c r="P28" s="60">
        <f t="shared" si="0"/>
        <v>290.51000000000005</v>
      </c>
      <c r="Q28" s="53" t="e">
        <f t="shared" si="1"/>
        <v>#DIV/0!</v>
      </c>
      <c r="R28" s="60">
        <f t="shared" si="2"/>
        <v>290.51000000000005</v>
      </c>
      <c r="S28" s="53">
        <f>R28/R42*1000</f>
        <v>7.2257181942544477</v>
      </c>
    </row>
    <row r="29" spans="1:19" ht="18" x14ac:dyDescent="0.35">
      <c r="A29" s="57" t="s">
        <v>68</v>
      </c>
      <c r="B29" s="58" t="s">
        <v>65</v>
      </c>
      <c r="C29" s="59">
        <v>115.61</v>
      </c>
      <c r="D29" s="59">
        <v>2.58</v>
      </c>
      <c r="E29" s="43">
        <v>664.7700114480067</v>
      </c>
      <c r="F29" s="43">
        <v>19.242481588792273</v>
      </c>
      <c r="G29" s="43">
        <v>59.51</v>
      </c>
      <c r="H29" s="43">
        <f>G29/G42*1000</f>
        <v>1.8907069102462271</v>
      </c>
      <c r="I29" s="43">
        <v>15.38</v>
      </c>
      <c r="J29" s="43">
        <f>I29/I42*1000</f>
        <v>1.8905961893054701</v>
      </c>
      <c r="K29" s="43">
        <v>1.75</v>
      </c>
      <c r="L29" s="43">
        <v>2.58</v>
      </c>
      <c r="M29" s="43">
        <v>1.1200000000000001</v>
      </c>
      <c r="N29" s="43">
        <f>M29/M42*1000+0.01</f>
        <v>1.8923529411764708</v>
      </c>
      <c r="O29" s="59">
        <v>809.2479114688756</v>
      </c>
      <c r="P29" s="60">
        <f t="shared" si="0"/>
        <v>76.010000000000005</v>
      </c>
      <c r="Q29" s="53" t="e">
        <f t="shared" si="1"/>
        <v>#DIV/0!</v>
      </c>
      <c r="R29" s="60">
        <f t="shared" si="2"/>
        <v>76.010000000000005</v>
      </c>
      <c r="S29" s="53">
        <f>R29/R42*1000</f>
        <v>1.8905608755129959</v>
      </c>
    </row>
    <row r="30" spans="1:19" ht="18" x14ac:dyDescent="0.35">
      <c r="A30" s="57" t="s">
        <v>151</v>
      </c>
      <c r="B30" s="58" t="s">
        <v>71</v>
      </c>
      <c r="C30" s="59">
        <v>47.03</v>
      </c>
      <c r="D30" s="59">
        <v>1.05</v>
      </c>
      <c r="E30" s="43">
        <v>0</v>
      </c>
      <c r="F30" s="43">
        <v>0</v>
      </c>
      <c r="G30" s="43">
        <f>G31</f>
        <v>1217.0999999999999</v>
      </c>
      <c r="H30" s="43">
        <f>G30/G42*1000</f>
        <v>38.668784749801425</v>
      </c>
      <c r="I30" s="43">
        <f>I31</f>
        <v>314.57</v>
      </c>
      <c r="J30" s="43">
        <f>I30/I42*1000</f>
        <v>38.668715427166568</v>
      </c>
      <c r="K30" s="43">
        <v>0.71</v>
      </c>
      <c r="L30" s="43">
        <v>1.05</v>
      </c>
      <c r="M30" s="43">
        <f>M31</f>
        <v>23.01</v>
      </c>
      <c r="N30" s="43">
        <f>M30/M42*1000</f>
        <v>38.67226890756303</v>
      </c>
      <c r="O30" s="59">
        <v>0</v>
      </c>
      <c r="P30" s="60">
        <f t="shared" si="0"/>
        <v>1554.6799999999998</v>
      </c>
      <c r="Q30" s="53" t="e">
        <f t="shared" si="1"/>
        <v>#DIV/0!</v>
      </c>
      <c r="R30" s="60">
        <f t="shared" si="2"/>
        <v>1554.6799999999998</v>
      </c>
      <c r="S30" s="53">
        <f>R30/R42*1000</f>
        <v>38.668822285785346</v>
      </c>
    </row>
    <row r="31" spans="1:19" ht="22.5" customHeight="1" x14ac:dyDescent="0.35">
      <c r="A31" s="57" t="s">
        <v>72</v>
      </c>
      <c r="B31" s="58" t="s">
        <v>148</v>
      </c>
      <c r="C31" s="59">
        <v>44.79</v>
      </c>
      <c r="D31" s="59">
        <v>1</v>
      </c>
      <c r="E31" s="43">
        <v>0</v>
      </c>
      <c r="F31" s="43">
        <v>0</v>
      </c>
      <c r="G31" s="43">
        <v>1217.0999999999999</v>
      </c>
      <c r="H31" s="43">
        <f>H30</f>
        <v>38.668784749801425</v>
      </c>
      <c r="I31" s="43">
        <v>314.57</v>
      </c>
      <c r="J31" s="43">
        <f>J30</f>
        <v>38.668715427166568</v>
      </c>
      <c r="K31" s="43">
        <v>0.68</v>
      </c>
      <c r="L31" s="43">
        <v>1</v>
      </c>
      <c r="M31" s="43">
        <v>23.01</v>
      </c>
      <c r="N31" s="43">
        <f>N30</f>
        <v>38.67226890756303</v>
      </c>
      <c r="O31" s="59">
        <v>0</v>
      </c>
      <c r="P31" s="60">
        <f t="shared" si="0"/>
        <v>1554.6799999999998</v>
      </c>
      <c r="Q31" s="53" t="e">
        <f t="shared" si="1"/>
        <v>#DIV/0!</v>
      </c>
      <c r="R31" s="60">
        <f t="shared" si="2"/>
        <v>1554.6799999999998</v>
      </c>
      <c r="S31" s="53">
        <f>R31/R42*1000</f>
        <v>38.668822285785346</v>
      </c>
    </row>
    <row r="32" spans="1:19" ht="18" x14ac:dyDescent="0.35">
      <c r="A32" s="57" t="s">
        <v>73</v>
      </c>
      <c r="B32" s="58" t="s">
        <v>65</v>
      </c>
      <c r="C32" s="59">
        <v>2.2400000000000002</v>
      </c>
      <c r="D32" s="59">
        <v>0.05</v>
      </c>
      <c r="E32" s="43">
        <v>0</v>
      </c>
      <c r="F32" s="43">
        <v>0</v>
      </c>
      <c r="G32" s="43">
        <v>0</v>
      </c>
      <c r="H32" s="43">
        <f>G32/G42*1000</f>
        <v>0</v>
      </c>
      <c r="I32" s="43">
        <v>0</v>
      </c>
      <c r="J32" s="43">
        <f>I32/I42*1000</f>
        <v>0</v>
      </c>
      <c r="K32" s="43">
        <v>0.03</v>
      </c>
      <c r="L32" s="43">
        <v>0.05</v>
      </c>
      <c r="M32" s="43"/>
      <c r="N32" s="43"/>
      <c r="O32" s="59">
        <v>0</v>
      </c>
      <c r="P32" s="60">
        <f t="shared" si="0"/>
        <v>0</v>
      </c>
      <c r="Q32" s="53" t="e">
        <f t="shared" si="1"/>
        <v>#DIV/0!</v>
      </c>
      <c r="R32" s="60">
        <f t="shared" si="2"/>
        <v>0</v>
      </c>
      <c r="S32" s="53">
        <f>R32/R42*1000</f>
        <v>0</v>
      </c>
    </row>
    <row r="33" spans="1:19" ht="18" x14ac:dyDescent="0.35">
      <c r="A33" s="57" t="s">
        <v>153</v>
      </c>
      <c r="B33" s="58" t="s">
        <v>154</v>
      </c>
      <c r="C33" s="59"/>
      <c r="D33" s="59"/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/>
      <c r="L33" s="43"/>
      <c r="M33" s="43">
        <v>0</v>
      </c>
      <c r="N33" s="43">
        <v>0</v>
      </c>
      <c r="O33" s="59">
        <v>0</v>
      </c>
      <c r="P33" s="60">
        <f t="shared" si="0"/>
        <v>0</v>
      </c>
      <c r="Q33" s="53" t="e">
        <f t="shared" si="1"/>
        <v>#DIV/0!</v>
      </c>
      <c r="R33" s="60">
        <f t="shared" si="2"/>
        <v>0</v>
      </c>
      <c r="S33" s="53">
        <f>R33/R42*1000</f>
        <v>0</v>
      </c>
    </row>
    <row r="34" spans="1:19" ht="18" x14ac:dyDescent="0.35">
      <c r="A34" s="57" t="s">
        <v>155</v>
      </c>
      <c r="B34" s="58" t="s">
        <v>156</v>
      </c>
      <c r="C34" s="59">
        <v>64797.58</v>
      </c>
      <c r="D34" s="59">
        <v>1446.81</v>
      </c>
      <c r="E34" s="43">
        <v>78326.247044498319</v>
      </c>
      <c r="F34" s="43">
        <v>2267.2373011983182</v>
      </c>
      <c r="G34" s="43">
        <f>G8+G27+G30</f>
        <v>4635.8999999999996</v>
      </c>
      <c r="H34" s="43">
        <f>H8+H27+H30</f>
        <v>147.28832406671964</v>
      </c>
      <c r="I34" s="43">
        <f>I8+I27+I30</f>
        <v>1198.18</v>
      </c>
      <c r="J34" s="43">
        <f>J8+J27+J30</f>
        <v>147.28703134603563</v>
      </c>
      <c r="K34" s="43">
        <v>980.82</v>
      </c>
      <c r="L34" s="43">
        <v>1446.81</v>
      </c>
      <c r="M34" s="43">
        <f>M8+M27+M30</f>
        <v>87.640000000000015</v>
      </c>
      <c r="N34" s="43">
        <f>N8+N27+N30-0.01</f>
        <v>147.29411764705884</v>
      </c>
      <c r="O34" s="59">
        <v>103127.37106018477</v>
      </c>
      <c r="P34" s="60">
        <f t="shared" si="0"/>
        <v>5921.72</v>
      </c>
      <c r="Q34" s="53" t="e">
        <f t="shared" si="1"/>
        <v>#DIV/0!</v>
      </c>
      <c r="R34" s="60">
        <f t="shared" si="2"/>
        <v>5921.72</v>
      </c>
      <c r="S34" s="53">
        <f>R34/R42*1000</f>
        <v>147.28814824026861</v>
      </c>
    </row>
    <row r="35" spans="1:19" ht="18" x14ac:dyDescent="0.35">
      <c r="A35" s="57" t="s">
        <v>157</v>
      </c>
      <c r="B35" s="58" t="s">
        <v>158</v>
      </c>
      <c r="C35" s="59"/>
      <c r="D35" s="59"/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/>
      <c r="L35" s="43"/>
      <c r="M35" s="43">
        <v>0</v>
      </c>
      <c r="N35" s="43">
        <v>0</v>
      </c>
      <c r="O35" s="59">
        <v>0</v>
      </c>
      <c r="P35" s="60">
        <f t="shared" si="0"/>
        <v>0</v>
      </c>
      <c r="Q35" s="53" t="e">
        <f t="shared" si="1"/>
        <v>#DIV/0!</v>
      </c>
      <c r="R35" s="60">
        <f t="shared" si="2"/>
        <v>0</v>
      </c>
      <c r="S35" s="53">
        <f>R35/R42*1000</f>
        <v>0</v>
      </c>
    </row>
    <row r="36" spans="1:19" ht="18" x14ac:dyDescent="0.35">
      <c r="A36" s="57" t="s">
        <v>159</v>
      </c>
      <c r="B36" s="58" t="s">
        <v>362</v>
      </c>
      <c r="C36" s="59"/>
      <c r="D36" s="59"/>
      <c r="E36" s="43">
        <v>0</v>
      </c>
      <c r="F36" s="43">
        <v>0</v>
      </c>
      <c r="G36" s="43">
        <v>0</v>
      </c>
      <c r="H36" s="43">
        <f>G36/G42*1000</f>
        <v>0</v>
      </c>
      <c r="I36" s="43">
        <v>0</v>
      </c>
      <c r="J36" s="43">
        <f>I36/I42*1000</f>
        <v>0</v>
      </c>
      <c r="K36" s="43">
        <v>98.09</v>
      </c>
      <c r="L36" s="43">
        <v>144.68</v>
      </c>
      <c r="M36" s="43">
        <f>M37+M39+M40</f>
        <v>0</v>
      </c>
      <c r="N36" s="43">
        <f>N37+N39+N40</f>
        <v>0</v>
      </c>
      <c r="O36" s="59">
        <v>0</v>
      </c>
      <c r="P36" s="60">
        <f t="shared" si="0"/>
        <v>0</v>
      </c>
      <c r="Q36" s="53" t="e">
        <f t="shared" si="1"/>
        <v>#DIV/0!</v>
      </c>
      <c r="R36" s="60">
        <f t="shared" si="2"/>
        <v>0</v>
      </c>
      <c r="S36" s="53">
        <f>R36/R42*1000</f>
        <v>0</v>
      </c>
    </row>
    <row r="37" spans="1:19" ht="18" x14ac:dyDescent="0.35">
      <c r="A37" s="57" t="s">
        <v>79</v>
      </c>
      <c r="B37" s="58" t="s">
        <v>80</v>
      </c>
      <c r="C37" s="59"/>
      <c r="D37" s="59"/>
      <c r="E37" s="43">
        <v>0</v>
      </c>
      <c r="F37" s="43">
        <v>0</v>
      </c>
      <c r="G37" s="43">
        <v>0</v>
      </c>
      <c r="H37" s="43">
        <f>G37/G42*1000</f>
        <v>0</v>
      </c>
      <c r="I37" s="43">
        <v>0</v>
      </c>
      <c r="J37" s="43">
        <f>I37/I42*1000</f>
        <v>0</v>
      </c>
      <c r="K37" s="43">
        <v>17.649999999999999</v>
      </c>
      <c r="L37" s="43">
        <v>26.04</v>
      </c>
      <c r="M37" s="43">
        <v>0</v>
      </c>
      <c r="N37" s="43">
        <f>M37/M42*1000</f>
        <v>0</v>
      </c>
      <c r="O37" s="59">
        <v>0</v>
      </c>
      <c r="P37" s="60">
        <f t="shared" si="0"/>
        <v>0</v>
      </c>
      <c r="Q37" s="53" t="e">
        <f t="shared" si="1"/>
        <v>#DIV/0!</v>
      </c>
      <c r="R37" s="60">
        <f t="shared" si="2"/>
        <v>0</v>
      </c>
      <c r="S37" s="53">
        <f>R37/R42*1000</f>
        <v>0</v>
      </c>
    </row>
    <row r="38" spans="1:19" ht="18" x14ac:dyDescent="0.35">
      <c r="A38" s="57" t="s">
        <v>81</v>
      </c>
      <c r="B38" s="58" t="s">
        <v>161</v>
      </c>
      <c r="C38" s="59"/>
      <c r="D38" s="59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/>
      <c r="L38" s="43"/>
      <c r="M38" s="43"/>
      <c r="N38" s="43">
        <f>M38/M42*1000</f>
        <v>0</v>
      </c>
      <c r="O38" s="59">
        <v>0</v>
      </c>
      <c r="P38" s="60">
        <f t="shared" si="0"/>
        <v>0</v>
      </c>
      <c r="Q38" s="53" t="e">
        <f t="shared" si="1"/>
        <v>#DIV/0!</v>
      </c>
      <c r="R38" s="60">
        <f t="shared" si="2"/>
        <v>0</v>
      </c>
      <c r="S38" s="53">
        <f>R38/R42*1000</f>
        <v>0</v>
      </c>
    </row>
    <row r="39" spans="1:19" ht="18" x14ac:dyDescent="0.35">
      <c r="A39" s="57" t="s">
        <v>83</v>
      </c>
      <c r="B39" s="58" t="s">
        <v>162</v>
      </c>
      <c r="C39" s="59"/>
      <c r="D39" s="59"/>
      <c r="E39" s="43">
        <v>0</v>
      </c>
      <c r="F39" s="43">
        <v>0</v>
      </c>
      <c r="G39" s="43">
        <v>0</v>
      </c>
      <c r="H39" s="43">
        <f>G39/G42*1000</f>
        <v>0</v>
      </c>
      <c r="I39" s="43">
        <v>0</v>
      </c>
      <c r="J39" s="43">
        <f>I39/I42*1000</f>
        <v>0</v>
      </c>
      <c r="K39" s="43">
        <v>80.44</v>
      </c>
      <c r="L39" s="43">
        <v>118.64</v>
      </c>
      <c r="M39" s="43">
        <v>0</v>
      </c>
      <c r="N39" s="43">
        <f>M39/M42*1000</f>
        <v>0</v>
      </c>
      <c r="O39" s="59">
        <v>0</v>
      </c>
      <c r="P39" s="60">
        <f t="shared" si="0"/>
        <v>0</v>
      </c>
      <c r="Q39" s="53" t="e">
        <f t="shared" si="1"/>
        <v>#DIV/0!</v>
      </c>
      <c r="R39" s="60">
        <f t="shared" si="2"/>
        <v>0</v>
      </c>
      <c r="S39" s="53">
        <f>R39/R42*1000</f>
        <v>0</v>
      </c>
    </row>
    <row r="40" spans="1:19" ht="18" x14ac:dyDescent="0.35">
      <c r="A40" s="57" t="s">
        <v>85</v>
      </c>
      <c r="B40" s="58" t="s">
        <v>303</v>
      </c>
      <c r="C40" s="59"/>
      <c r="D40" s="59"/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f>I40/I42*1000</f>
        <v>0</v>
      </c>
      <c r="K40" s="43"/>
      <c r="L40" s="43"/>
      <c r="M40" s="43">
        <v>0</v>
      </c>
      <c r="N40" s="43">
        <f>M40/M42*1000</f>
        <v>0</v>
      </c>
      <c r="O40" s="59">
        <v>0</v>
      </c>
      <c r="P40" s="60">
        <f t="shared" si="0"/>
        <v>0</v>
      </c>
      <c r="Q40" s="53" t="e">
        <f t="shared" si="1"/>
        <v>#DIV/0!</v>
      </c>
      <c r="R40" s="60">
        <f t="shared" si="2"/>
        <v>0</v>
      </c>
      <c r="S40" s="53">
        <f>R40/R42*1000</f>
        <v>0</v>
      </c>
    </row>
    <row r="41" spans="1:19" ht="18" x14ac:dyDescent="0.35">
      <c r="A41" s="57" t="s">
        <v>163</v>
      </c>
      <c r="B41" s="58" t="s">
        <v>164</v>
      </c>
      <c r="C41" s="59">
        <v>64797.58</v>
      </c>
      <c r="D41" s="59">
        <v>1446.81</v>
      </c>
      <c r="E41" s="43">
        <v>78326.247044498319</v>
      </c>
      <c r="F41" s="43">
        <v>2267.2273011983179</v>
      </c>
      <c r="G41" s="43">
        <f>G34+G36</f>
        <v>4635.8999999999996</v>
      </c>
      <c r="H41" s="43">
        <f>H34</f>
        <v>147.28832406671964</v>
      </c>
      <c r="I41" s="43">
        <f>I34+I36</f>
        <v>1198.18</v>
      </c>
      <c r="J41" s="43">
        <f>J34+J36</f>
        <v>147.28703134603563</v>
      </c>
      <c r="K41" s="43">
        <v>1078.9100000000001</v>
      </c>
      <c r="L41" s="43">
        <v>1591.49</v>
      </c>
      <c r="M41" s="43">
        <f>M34+M36</f>
        <v>87.640000000000015</v>
      </c>
      <c r="N41" s="43">
        <f>N34+N36</f>
        <v>147.29411764705884</v>
      </c>
      <c r="O41" s="59">
        <v>103127.37406018477</v>
      </c>
      <c r="P41" s="60">
        <f>G41+I41+M41</f>
        <v>5921.72</v>
      </c>
      <c r="Q41" s="53" t="e">
        <f t="shared" si="1"/>
        <v>#DIV/0!</v>
      </c>
      <c r="R41" s="60">
        <f t="shared" si="2"/>
        <v>5921.72</v>
      </c>
      <c r="S41" s="53">
        <f>R41/R42*1000</f>
        <v>147.28814824026861</v>
      </c>
    </row>
    <row r="42" spans="1:19" ht="15.75" customHeight="1" x14ac:dyDescent="0.35">
      <c r="A42" s="57">
        <v>9</v>
      </c>
      <c r="B42" s="58" t="s">
        <v>360</v>
      </c>
      <c r="C42" s="59">
        <v>44786.45</v>
      </c>
      <c r="D42" s="59"/>
      <c r="E42" s="43">
        <v>34547</v>
      </c>
      <c r="F42" s="43">
        <v>0</v>
      </c>
      <c r="G42" s="43">
        <v>31475</v>
      </c>
      <c r="H42" s="52" t="s">
        <v>35</v>
      </c>
      <c r="I42" s="43">
        <v>8135</v>
      </c>
      <c r="J42" s="52" t="s">
        <v>35</v>
      </c>
      <c r="K42" s="43">
        <v>678</v>
      </c>
      <c r="L42" s="43"/>
      <c r="M42" s="43">
        <v>595</v>
      </c>
      <c r="N42" s="52" t="s">
        <v>35</v>
      </c>
      <c r="O42" s="59"/>
      <c r="P42" s="60">
        <f>G42+I42+M42</f>
        <v>40205</v>
      </c>
      <c r="Q42" s="53" t="e">
        <f t="shared" si="1"/>
        <v>#DIV/0!</v>
      </c>
      <c r="R42" s="60">
        <f>G42+I42+M42</f>
        <v>40205</v>
      </c>
      <c r="S42" s="53"/>
    </row>
    <row r="43" spans="1:19" ht="18" x14ac:dyDescent="0.35">
      <c r="A43" s="57">
        <v>10</v>
      </c>
      <c r="B43" s="58" t="s">
        <v>358</v>
      </c>
      <c r="C43" s="59"/>
      <c r="D43" s="59">
        <v>1446.81</v>
      </c>
      <c r="E43" s="43">
        <v>0</v>
      </c>
      <c r="F43" s="43">
        <v>2267.2273011983179</v>
      </c>
      <c r="G43" s="52" t="s">
        <v>35</v>
      </c>
      <c r="H43" s="43">
        <f>H41</f>
        <v>147.28832406671964</v>
      </c>
      <c r="I43" s="52" t="s">
        <v>35</v>
      </c>
      <c r="J43" s="43">
        <f>J41</f>
        <v>147.28703134603563</v>
      </c>
      <c r="K43" s="43"/>
      <c r="L43" s="43">
        <v>1591.49</v>
      </c>
      <c r="M43" s="52" t="s">
        <v>35</v>
      </c>
      <c r="N43" s="43">
        <f>N41</f>
        <v>147.29411764705884</v>
      </c>
      <c r="O43" s="59">
        <v>0</v>
      </c>
      <c r="P43" s="53"/>
      <c r="Q43" s="53"/>
      <c r="R43" s="53"/>
      <c r="S43" s="53"/>
    </row>
    <row r="44" spans="1:19" ht="18" hidden="1" x14ac:dyDescent="0.35">
      <c r="A44" s="57" t="s">
        <v>165</v>
      </c>
      <c r="B44" s="58" t="s">
        <v>166</v>
      </c>
      <c r="C44" s="59"/>
      <c r="D44" s="59">
        <v>1110.27</v>
      </c>
      <c r="E44" s="43">
        <v>49907.870589102793</v>
      </c>
      <c r="F44" s="43">
        <v>1444.6368885605928</v>
      </c>
      <c r="G44" s="52">
        <v>49907.870589102793</v>
      </c>
      <c r="H44" s="43">
        <v>1444.6368885605928</v>
      </c>
      <c r="I44" s="52">
        <v>17172.550882001957</v>
      </c>
      <c r="J44" s="43">
        <v>2452.170624304149</v>
      </c>
      <c r="K44" s="43"/>
      <c r="L44" s="43">
        <v>1110.27</v>
      </c>
      <c r="M44" s="52">
        <v>1239.0273220193383</v>
      </c>
      <c r="N44" s="43">
        <v>2452.1730605982648</v>
      </c>
      <c r="O44" s="59">
        <v>68319.448793124087</v>
      </c>
      <c r="P44" s="53"/>
      <c r="Q44" s="53"/>
      <c r="R44" s="53"/>
      <c r="S44" s="53"/>
    </row>
    <row r="45" spans="1:19" ht="18" hidden="1" x14ac:dyDescent="0.35">
      <c r="A45" s="57" t="s">
        <v>167</v>
      </c>
      <c r="B45" s="58" t="s">
        <v>168</v>
      </c>
      <c r="C45" s="59"/>
      <c r="D45" s="59">
        <v>336.54</v>
      </c>
      <c r="E45" s="43">
        <v>20773.532643727402</v>
      </c>
      <c r="F45" s="43">
        <v>822.60041263772598</v>
      </c>
      <c r="G45" s="52">
        <v>20773.532643727402</v>
      </c>
      <c r="H45" s="43">
        <v>822.60041263772598</v>
      </c>
      <c r="I45" s="52">
        <v>4409.8738832322088</v>
      </c>
      <c r="J45" s="43">
        <v>851.00031730375304</v>
      </c>
      <c r="K45" s="43"/>
      <c r="L45" s="43">
        <v>481.22</v>
      </c>
      <c r="M45" s="52">
        <v>318.18108253397389</v>
      </c>
      <c r="N45" s="43">
        <v>850.99568638936944</v>
      </c>
      <c r="O45" s="59">
        <v>25501.587609493585</v>
      </c>
      <c r="P45" s="53"/>
      <c r="Q45" s="53"/>
      <c r="R45" s="53"/>
      <c r="S45" s="53"/>
    </row>
    <row r="46" spans="1:19" ht="18" hidden="1" x14ac:dyDescent="0.35">
      <c r="A46" s="57" t="s">
        <v>169</v>
      </c>
      <c r="B46" s="58" t="s">
        <v>170</v>
      </c>
      <c r="C46" s="59"/>
      <c r="D46" s="59">
        <v>76.739999999999995</v>
      </c>
      <c r="E46" s="43">
        <v>63.71793935275538</v>
      </c>
      <c r="F46" s="43">
        <v>63.718220391799527</v>
      </c>
      <c r="G46" s="52">
        <v>63.71793935275538</v>
      </c>
      <c r="H46" s="43">
        <v>63.718220391799527</v>
      </c>
      <c r="I46" s="52">
        <v>74.236867169535373</v>
      </c>
      <c r="J46" s="43">
        <v>74.236867169535373</v>
      </c>
      <c r="K46" s="43"/>
      <c r="L46" s="43">
        <v>69.760000000000005</v>
      </c>
      <c r="M46" s="52">
        <v>74.236776388072371</v>
      </c>
      <c r="N46" s="43">
        <v>74.236990248668178</v>
      </c>
      <c r="O46" s="59">
        <v>66.247637366634677</v>
      </c>
      <c r="P46" s="53"/>
      <c r="Q46" s="53"/>
      <c r="R46" s="53"/>
      <c r="S46" s="53"/>
    </row>
    <row r="47" spans="1:19" ht="18" hidden="1" x14ac:dyDescent="0.35">
      <c r="A47" s="57" t="s">
        <v>171</v>
      </c>
      <c r="B47" s="58" t="s">
        <v>172</v>
      </c>
      <c r="C47" s="59"/>
      <c r="D47" s="59">
        <v>23.26</v>
      </c>
      <c r="E47" s="43">
        <v>36.28206064724462</v>
      </c>
      <c r="F47" s="43">
        <v>36.281779608200473</v>
      </c>
      <c r="G47" s="52">
        <v>36.28206064724462</v>
      </c>
      <c r="H47" s="43">
        <v>36.281779608200473</v>
      </c>
      <c r="I47" s="52">
        <v>25.763132830464627</v>
      </c>
      <c r="J47" s="43">
        <v>25.763132830464627</v>
      </c>
      <c r="K47" s="43"/>
      <c r="L47" s="43">
        <v>30.24</v>
      </c>
      <c r="M47" s="52">
        <v>25.763223611927629</v>
      </c>
      <c r="N47" s="43">
        <v>25.763009751331822</v>
      </c>
      <c r="O47" s="59">
        <v>33.752362633365323</v>
      </c>
      <c r="P47" s="53"/>
      <c r="Q47" s="53"/>
      <c r="R47" s="53"/>
      <c r="S47" s="53"/>
    </row>
    <row r="48" spans="1:19" ht="18.75" hidden="1" customHeight="1" x14ac:dyDescent="0.35">
      <c r="A48" s="57" t="s">
        <v>173</v>
      </c>
      <c r="B48" s="58" t="s">
        <v>174</v>
      </c>
      <c r="C48" s="59">
        <v>44786.45</v>
      </c>
      <c r="D48" s="59"/>
      <c r="E48" s="43">
        <v>34547</v>
      </c>
      <c r="F48" s="43">
        <v>0</v>
      </c>
      <c r="G48" s="52">
        <v>34547</v>
      </c>
      <c r="H48" s="43">
        <v>0</v>
      </c>
      <c r="I48" s="52">
        <v>7003</v>
      </c>
      <c r="J48" s="43">
        <v>0</v>
      </c>
      <c r="K48" s="43">
        <v>678</v>
      </c>
      <c r="L48" s="43"/>
      <c r="M48" s="52">
        <v>505.27727505376345</v>
      </c>
      <c r="N48" s="43">
        <v>0</v>
      </c>
      <c r="O48" s="59">
        <v>42055.277275053762</v>
      </c>
      <c r="P48" s="53"/>
      <c r="Q48" s="53"/>
      <c r="R48" s="53"/>
      <c r="S48" s="53"/>
    </row>
    <row r="49" spans="1:19" ht="18" hidden="1" x14ac:dyDescent="0.35">
      <c r="A49" s="57" t="s">
        <v>175</v>
      </c>
      <c r="B49" s="58" t="s">
        <v>176</v>
      </c>
      <c r="C49" s="59"/>
      <c r="D49" s="59"/>
      <c r="E49" s="43">
        <v>0</v>
      </c>
      <c r="F49" s="43">
        <v>2720.6827614379818</v>
      </c>
      <c r="G49" s="52">
        <v>0</v>
      </c>
      <c r="H49" s="43">
        <v>2720.6827614379818</v>
      </c>
      <c r="I49" s="52">
        <v>0</v>
      </c>
      <c r="J49" s="43">
        <v>0</v>
      </c>
      <c r="K49" s="43"/>
      <c r="L49" s="43"/>
      <c r="M49" s="52">
        <v>0</v>
      </c>
      <c r="N49" s="43">
        <v>0</v>
      </c>
      <c r="O49" s="59"/>
      <c r="P49" s="53"/>
      <c r="Q49" s="53"/>
      <c r="R49" s="53"/>
      <c r="S49" s="53"/>
    </row>
    <row r="50" spans="1:19" ht="21" customHeight="1" x14ac:dyDescent="0.35">
      <c r="A50" s="62">
        <v>11</v>
      </c>
      <c r="B50" s="58" t="s">
        <v>359</v>
      </c>
      <c r="C50" s="59"/>
      <c r="D50" s="59">
        <v>1736.17</v>
      </c>
      <c r="E50" s="43">
        <v>0</v>
      </c>
      <c r="F50" s="43">
        <v>2720.6847614379822</v>
      </c>
      <c r="G50" s="52" t="s">
        <v>35</v>
      </c>
      <c r="H50" s="43">
        <f>H43*1.2</f>
        <v>176.74598888006355</v>
      </c>
      <c r="I50" s="52" t="s">
        <v>35</v>
      </c>
      <c r="J50" s="43">
        <f>J41*1.2+0.01</f>
        <v>176.75443761524275</v>
      </c>
      <c r="K50" s="43"/>
      <c r="L50" s="43">
        <v>1909.79</v>
      </c>
      <c r="M50" s="52" t="s">
        <v>35</v>
      </c>
      <c r="N50" s="43">
        <f>N41*1.2</f>
        <v>176.75294117647061</v>
      </c>
      <c r="O50" s="59">
        <v>2942.633539558235</v>
      </c>
      <c r="P50" s="53"/>
      <c r="Q50" s="53"/>
      <c r="R50" s="53"/>
      <c r="S50" s="53"/>
    </row>
    <row r="51" spans="1:19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9" ht="18" hidden="1" x14ac:dyDescent="0.35">
      <c r="A52" s="66" t="s">
        <v>310</v>
      </c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15"/>
    </row>
    <row r="53" spans="1:19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9" ht="18" x14ac:dyDescent="0.35">
      <c r="A54" s="66" t="s">
        <v>370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15"/>
    </row>
    <row r="55" spans="1:19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9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9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9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9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9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9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K4:L4"/>
    <mergeCell ref="A52:N52"/>
    <mergeCell ref="A54:N54"/>
    <mergeCell ref="O4:O5"/>
    <mergeCell ref="C5:D5"/>
    <mergeCell ref="E5:F5"/>
    <mergeCell ref="K5:L5"/>
    <mergeCell ref="M4:N5"/>
    <mergeCell ref="I4:J5"/>
    <mergeCell ref="G4:H5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7207-A5E7-4013-80ED-5DD43EBF4735}">
  <dimension ref="A1:Q60"/>
  <sheetViews>
    <sheetView tabSelected="1" topLeftCell="A22" zoomScale="76" zoomScaleNormal="76" workbookViewId="0">
      <selection activeCell="J57" sqref="J57"/>
    </sheetView>
  </sheetViews>
  <sheetFormatPr defaultRowHeight="14.4" x14ac:dyDescent="0.3"/>
  <cols>
    <col min="1" max="1" width="7.109375" customWidth="1"/>
    <col min="2" max="2" width="81.5546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8.6640625" customWidth="1"/>
    <col min="8" max="8" width="15.44140625" customWidth="1"/>
    <col min="9" max="9" width="17.6640625" customWidth="1"/>
    <col min="10" max="10" width="14.77734375" customWidth="1"/>
    <col min="11" max="11" width="18.5546875" hidden="1" customWidth="1"/>
    <col min="12" max="12" width="0.33203125" hidden="1" customWidth="1"/>
    <col min="13" max="13" width="18.88671875" customWidth="1"/>
    <col min="14" max="14" width="15" customWidth="1"/>
    <col min="15" max="15" width="7.5546875" hidden="1" customWidth="1"/>
    <col min="16" max="16" width="15.21875" hidden="1" customWidth="1"/>
    <col min="17" max="17" width="12.33203125" hidden="1" customWidth="1"/>
  </cols>
  <sheetData>
    <row r="1" spans="1:17" ht="77.25" customHeight="1" x14ac:dyDescent="0.3">
      <c r="F1" s="72"/>
      <c r="G1" s="72"/>
      <c r="H1" s="72"/>
      <c r="M1" s="73" t="s">
        <v>319</v>
      </c>
      <c r="N1" s="73"/>
      <c r="O1" s="73"/>
    </row>
    <row r="2" spans="1:17" ht="39" customHeight="1" x14ac:dyDescent="0.3">
      <c r="A2" s="74" t="s">
        <v>356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7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7" ht="12.75" customHeight="1" x14ac:dyDescent="0.3">
      <c r="A4" s="75" t="s">
        <v>323</v>
      </c>
      <c r="B4" s="67" t="s">
        <v>133</v>
      </c>
      <c r="C4" s="67" t="s">
        <v>290</v>
      </c>
      <c r="D4" s="67"/>
      <c r="E4" s="67" t="s">
        <v>291</v>
      </c>
      <c r="F4" s="67"/>
      <c r="G4" s="68" t="s">
        <v>300</v>
      </c>
      <c r="H4" s="69"/>
      <c r="I4" s="68" t="s">
        <v>307</v>
      </c>
      <c r="J4" s="69"/>
      <c r="K4" s="67" t="s">
        <v>290</v>
      </c>
      <c r="L4" s="67"/>
      <c r="M4" s="68" t="s">
        <v>308</v>
      </c>
      <c r="N4" s="69"/>
      <c r="O4" s="95"/>
    </row>
    <row r="5" spans="1:17" ht="29.4" customHeight="1" x14ac:dyDescent="0.3">
      <c r="A5" s="75"/>
      <c r="B5" s="67"/>
      <c r="C5" s="67" t="s">
        <v>293</v>
      </c>
      <c r="D5" s="67"/>
      <c r="E5" s="67" t="s">
        <v>300</v>
      </c>
      <c r="F5" s="67"/>
      <c r="G5" s="70"/>
      <c r="H5" s="71"/>
      <c r="I5" s="70"/>
      <c r="J5" s="71"/>
      <c r="K5" s="67" t="s">
        <v>294</v>
      </c>
      <c r="L5" s="67"/>
      <c r="M5" s="70"/>
      <c r="N5" s="71"/>
      <c r="O5" s="95"/>
    </row>
    <row r="6" spans="1:17" ht="15" customHeight="1" x14ac:dyDescent="0.35">
      <c r="A6" s="75"/>
      <c r="B6" s="67"/>
      <c r="C6" s="54" t="s">
        <v>135</v>
      </c>
      <c r="D6" s="54" t="s">
        <v>134</v>
      </c>
      <c r="E6" s="54" t="s">
        <v>135</v>
      </c>
      <c r="F6" s="54" t="s">
        <v>134</v>
      </c>
      <c r="G6" s="55" t="s">
        <v>313</v>
      </c>
      <c r="H6" s="54" t="s">
        <v>357</v>
      </c>
      <c r="I6" s="54" t="s">
        <v>313</v>
      </c>
      <c r="J6" s="54" t="s">
        <v>357</v>
      </c>
      <c r="K6" s="54" t="s">
        <v>135</v>
      </c>
      <c r="L6" s="54" t="s">
        <v>134</v>
      </c>
      <c r="M6" s="54" t="s">
        <v>313</v>
      </c>
      <c r="N6" s="54" t="s">
        <v>357</v>
      </c>
      <c r="O6" s="18"/>
    </row>
    <row r="7" spans="1:17" ht="18" hidden="1" x14ac:dyDescent="0.35">
      <c r="A7" s="65">
        <v>1</v>
      </c>
      <c r="B7" s="65">
        <v>2</v>
      </c>
      <c r="C7" s="65"/>
      <c r="D7" s="65"/>
      <c r="E7" s="65">
        <v>3</v>
      </c>
      <c r="F7" s="65">
        <v>4</v>
      </c>
      <c r="G7" s="65">
        <v>3</v>
      </c>
      <c r="H7" s="65">
        <v>4</v>
      </c>
      <c r="I7" s="65">
        <v>5</v>
      </c>
      <c r="J7" s="65">
        <v>6</v>
      </c>
      <c r="K7" s="65"/>
      <c r="L7" s="65"/>
      <c r="M7" s="65">
        <v>7</v>
      </c>
      <c r="N7" s="65">
        <v>8</v>
      </c>
      <c r="O7" s="18"/>
    </row>
    <row r="8" spans="1:17" ht="18" x14ac:dyDescent="0.35">
      <c r="A8" s="56">
        <v>1</v>
      </c>
      <c r="B8" s="55" t="s">
        <v>136</v>
      </c>
      <c r="C8" s="54">
        <v>62929.02</v>
      </c>
      <c r="D8" s="54">
        <v>1405.09</v>
      </c>
      <c r="E8" s="130">
        <v>74236.266320820505</v>
      </c>
      <c r="F8" s="130">
        <v>2148.8484186997571</v>
      </c>
      <c r="G8" s="130">
        <f>G9+G18+G19+G22</f>
        <v>128263.92999999998</v>
      </c>
      <c r="H8" s="130">
        <f>H9+H18+H19+H22</f>
        <v>3570.0969686796197</v>
      </c>
      <c r="I8" s="130">
        <f>I9+I18+I19+I22</f>
        <v>51796.460000000006</v>
      </c>
      <c r="J8" s="130">
        <f>J9+J18+J19+J22+0.01</f>
        <v>5524.97923140276</v>
      </c>
      <c r="K8" s="130">
        <v>952.54</v>
      </c>
      <c r="L8" s="130">
        <v>1405.09</v>
      </c>
      <c r="M8" s="130">
        <f>M9+M18+M19+M22</f>
        <v>4372.07</v>
      </c>
      <c r="N8" s="130">
        <f>N9+N18+N19+N22+0.01</f>
        <v>6361.6130038237388</v>
      </c>
      <c r="O8" s="14"/>
      <c r="P8" s="44">
        <f>G8+I8+M8</f>
        <v>184432.46</v>
      </c>
      <c r="Q8" s="44">
        <f>P8/P40*1000</f>
        <v>4669.1762025316448</v>
      </c>
    </row>
    <row r="9" spans="1:17" ht="18" x14ac:dyDescent="0.35">
      <c r="A9" s="56" t="s">
        <v>36</v>
      </c>
      <c r="B9" s="55" t="s">
        <v>137</v>
      </c>
      <c r="C9" s="54">
        <v>52895.94</v>
      </c>
      <c r="D9" s="54">
        <v>1181.07</v>
      </c>
      <c r="E9" s="130">
        <v>53618.754370763585</v>
      </c>
      <c r="F9" s="130">
        <v>1552.0524031251218</v>
      </c>
      <c r="G9" s="130">
        <f>G10+G16+G17+G11+G12</f>
        <v>78699.26999999999</v>
      </c>
      <c r="H9" s="130">
        <f>H10+H16+H17+H11+H12</f>
        <v>2161.1580360686603</v>
      </c>
      <c r="I9" s="130">
        <f t="shared" ref="I9:M9" si="0">I10+I16+I17+I11+I12</f>
        <v>38986.020000000004</v>
      </c>
      <c r="J9" s="130">
        <f>J10+J16+J17+J11+J12-0.01</f>
        <v>4116.0395829060699</v>
      </c>
      <c r="K9" s="130">
        <f t="shared" si="0"/>
        <v>800.76</v>
      </c>
      <c r="L9" s="130">
        <f t="shared" si="0"/>
        <v>1181.07</v>
      </c>
      <c r="M9" s="130">
        <f t="shared" si="0"/>
        <v>3435.1</v>
      </c>
      <c r="N9" s="130">
        <f>N10+N16+N17+N11+N12-0.01</f>
        <v>4952.6651839732749</v>
      </c>
      <c r="O9" s="17"/>
      <c r="P9" s="45">
        <f>P10+P16+P17+P11+P12</f>
        <v>121120.39000000001</v>
      </c>
      <c r="Q9" s="44">
        <f>P9/P40*1000</f>
        <v>3066.3389873417723</v>
      </c>
    </row>
    <row r="10" spans="1:17" ht="18.75" customHeight="1" x14ac:dyDescent="0.35">
      <c r="A10" s="56" t="s">
        <v>39</v>
      </c>
      <c r="B10" s="55" t="s">
        <v>138</v>
      </c>
      <c r="C10" s="54">
        <v>49725.05</v>
      </c>
      <c r="D10" s="54">
        <v>1110.27</v>
      </c>
      <c r="E10" s="130">
        <v>49907.870589102793</v>
      </c>
      <c r="F10" s="130">
        <v>1444.6368885605928</v>
      </c>
      <c r="G10" s="130">
        <f>виробництво!G10</f>
        <v>48719.17</v>
      </c>
      <c r="H10" s="130">
        <f>виробництво!H10</f>
        <v>1320.1857348171518</v>
      </c>
      <c r="I10" s="130">
        <f>виробництво!I10</f>
        <v>31783.16</v>
      </c>
      <c r="J10" s="130">
        <f>виробництво!J10</f>
        <v>3332.2981659504021</v>
      </c>
      <c r="K10" s="130">
        <v>752.76</v>
      </c>
      <c r="L10" s="130">
        <v>1110.27</v>
      </c>
      <c r="M10" s="130">
        <f>виробництво!M10</f>
        <v>2839.75</v>
      </c>
      <c r="N10" s="130">
        <f>виробництво!N10</f>
        <v>4070.6941931738361</v>
      </c>
      <c r="O10" s="14"/>
      <c r="P10" s="44">
        <f t="shared" ref="P10:P39" si="1">G10+I10+M10</f>
        <v>83342.080000000002</v>
      </c>
      <c r="Q10" s="44">
        <f>P10/P40*1000</f>
        <v>2109.9260759493668</v>
      </c>
    </row>
    <row r="11" spans="1:17" ht="20.25" customHeight="1" x14ac:dyDescent="0.35">
      <c r="A11" s="64" t="s">
        <v>41</v>
      </c>
      <c r="B11" s="55" t="s">
        <v>365</v>
      </c>
      <c r="C11" s="54">
        <v>44371.133892228005</v>
      </c>
      <c r="D11" s="54">
        <v>990.72678311080585</v>
      </c>
      <c r="E11" s="130">
        <v>39675.38494593247</v>
      </c>
      <c r="F11" s="130">
        <v>1148.4466074024508</v>
      </c>
      <c r="G11" s="130">
        <f>виробництво!G11</f>
        <v>5055.92</v>
      </c>
      <c r="H11" s="130">
        <f>виробництво!H11</f>
        <v>137.00570062209053</v>
      </c>
      <c r="I11" s="130">
        <f>виробництво!I11</f>
        <v>760.98</v>
      </c>
      <c r="J11" s="130">
        <f>виробництво!J11</f>
        <v>79.784774651889137</v>
      </c>
      <c r="K11" s="130">
        <f>виробництво!K11</f>
        <v>0</v>
      </c>
      <c r="L11" s="130">
        <f>виробництво!L11</f>
        <v>0</v>
      </c>
      <c r="M11" s="130">
        <f>виробництво!M11</f>
        <v>124.19</v>
      </c>
      <c r="N11" s="130">
        <f>виробництво!N11</f>
        <v>178.02210404093978</v>
      </c>
      <c r="O11" s="14"/>
      <c r="P11" s="44">
        <f t="shared" si="1"/>
        <v>5941.0899999999992</v>
      </c>
      <c r="Q11" s="44">
        <f>P11/P40*1000</f>
        <v>150.40734177215188</v>
      </c>
    </row>
    <row r="12" spans="1:17" ht="19.5" customHeight="1" x14ac:dyDescent="0.35">
      <c r="A12" s="64" t="s">
        <v>43</v>
      </c>
      <c r="B12" s="55" t="s">
        <v>139</v>
      </c>
      <c r="C12" s="54">
        <v>2922.32</v>
      </c>
      <c r="D12" s="54">
        <v>65.25</v>
      </c>
      <c r="E12" s="130">
        <v>3494.3465336017216</v>
      </c>
      <c r="F12" s="130">
        <v>101.14761147427335</v>
      </c>
      <c r="G12" s="130">
        <f>виробництво!G12+транспортування!G14+постачання!G14</f>
        <v>17622.86</v>
      </c>
      <c r="H12" s="130">
        <f>виробництво!H12+транспортування!H14+постачання!H14</f>
        <v>498.18077080697174</v>
      </c>
      <c r="I12" s="130">
        <f>виробництво!I12+транспортування!I14+постачання!I14</f>
        <v>4554.79</v>
      </c>
      <c r="J12" s="130">
        <f>виробництво!J12+транспортування!J14+постачання!J14</f>
        <v>498.1810601087148</v>
      </c>
      <c r="K12" s="130">
        <v>44.24</v>
      </c>
      <c r="L12" s="130">
        <v>65.25</v>
      </c>
      <c r="M12" s="130">
        <f>виробництво!M12+транспортування!M14+постачання!M14</f>
        <v>333.14</v>
      </c>
      <c r="N12" s="130">
        <f>виробництво!N12+транспортування!N14+постачання!N14</f>
        <v>498.17909310769215</v>
      </c>
      <c r="O12" s="14"/>
      <c r="P12" s="44">
        <f t="shared" si="1"/>
        <v>22510.79</v>
      </c>
      <c r="Q12" s="44">
        <f>P12/P40*1000</f>
        <v>569.89341772151897</v>
      </c>
    </row>
    <row r="13" spans="1:17" ht="18" hidden="1" x14ac:dyDescent="0.35">
      <c r="A13" s="64" t="s">
        <v>43</v>
      </c>
      <c r="B13" s="55" t="s">
        <v>140</v>
      </c>
      <c r="C13" s="54"/>
      <c r="D13" s="54"/>
      <c r="E13" s="130">
        <v>0</v>
      </c>
      <c r="F13" s="130">
        <v>0</v>
      </c>
      <c r="G13" s="130">
        <v>0</v>
      </c>
      <c r="H13" s="130">
        <v>0</v>
      </c>
      <c r="I13" s="130">
        <v>0</v>
      </c>
      <c r="J13" s="130">
        <v>0</v>
      </c>
      <c r="K13" s="130"/>
      <c r="L13" s="130"/>
      <c r="M13" s="130">
        <v>0</v>
      </c>
      <c r="N13" s="130">
        <v>0</v>
      </c>
      <c r="O13" s="14"/>
      <c r="P13" s="44">
        <f t="shared" si="1"/>
        <v>0</v>
      </c>
      <c r="Q13" s="44" t="e">
        <f>P13/P43*1000</f>
        <v>#DIV/0!</v>
      </c>
    </row>
    <row r="14" spans="1:17" ht="36" hidden="1" x14ac:dyDescent="0.35">
      <c r="A14" s="64" t="s">
        <v>141</v>
      </c>
      <c r="B14" s="55" t="s">
        <v>142</v>
      </c>
      <c r="C14" s="54"/>
      <c r="D14" s="54"/>
      <c r="E14" s="130">
        <v>0</v>
      </c>
      <c r="F14" s="130">
        <v>0</v>
      </c>
      <c r="G14" s="130">
        <v>0</v>
      </c>
      <c r="H14" s="130">
        <v>0</v>
      </c>
      <c r="I14" s="130">
        <v>0</v>
      </c>
      <c r="J14" s="130">
        <v>0</v>
      </c>
      <c r="K14" s="130"/>
      <c r="L14" s="130"/>
      <c r="M14" s="130">
        <v>0</v>
      </c>
      <c r="N14" s="130">
        <v>0</v>
      </c>
      <c r="O14" s="14"/>
      <c r="P14" s="44">
        <f t="shared" si="1"/>
        <v>0</v>
      </c>
      <c r="Q14" s="44" t="e">
        <f>P14/P44*1000</f>
        <v>#DIV/0!</v>
      </c>
    </row>
    <row r="15" spans="1:17" ht="18" hidden="1" x14ac:dyDescent="0.35">
      <c r="A15" s="64" t="s">
        <v>45</v>
      </c>
      <c r="B15" s="55" t="s">
        <v>143</v>
      </c>
      <c r="C15" s="54"/>
      <c r="D15" s="54"/>
      <c r="E15" s="130">
        <v>0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0"/>
      <c r="L15" s="130"/>
      <c r="M15" s="130">
        <v>0</v>
      </c>
      <c r="N15" s="130">
        <v>0</v>
      </c>
      <c r="O15" s="14"/>
      <c r="P15" s="44">
        <f t="shared" si="1"/>
        <v>0</v>
      </c>
      <c r="Q15" s="44" t="e">
        <f>P15/P45*1000</f>
        <v>#DIV/0!</v>
      </c>
    </row>
    <row r="16" spans="1:17" ht="18" x14ac:dyDescent="0.35">
      <c r="A16" s="64" t="s">
        <v>45</v>
      </c>
      <c r="B16" s="55" t="s">
        <v>46</v>
      </c>
      <c r="C16" s="54">
        <v>110.79</v>
      </c>
      <c r="D16" s="54">
        <v>2.4700000000000002</v>
      </c>
      <c r="E16" s="130">
        <v>109.42068458420637</v>
      </c>
      <c r="F16" s="130">
        <v>3.1672991745797425</v>
      </c>
      <c r="G16" s="130">
        <f>виробництво!G16+транспортування!G18+постачання!G18</f>
        <v>674.5</v>
      </c>
      <c r="H16" s="130">
        <f>виробництво!H16+транспортування!H18+постачання!H18+0.01</f>
        <v>21.133847611166306</v>
      </c>
      <c r="I16" s="130">
        <f>виробництво!I16+транспортування!I18+постачання!I18</f>
        <v>174.32999999999998</v>
      </c>
      <c r="J16" s="130">
        <f>виробництво!J16+транспортування!J18+постачання!J18+0.01</f>
        <v>21.133822241238573</v>
      </c>
      <c r="K16" s="130">
        <v>1.67</v>
      </c>
      <c r="L16" s="130">
        <v>2.4700000000000002</v>
      </c>
      <c r="M16" s="130">
        <f>виробництво!M16+транспортування!M18+постачання!M18</f>
        <v>12.75</v>
      </c>
      <c r="N16" s="130">
        <f>виробництво!N16+транспортування!N18+постачання!N18</f>
        <v>21.131923533880808</v>
      </c>
      <c r="O16" s="14"/>
      <c r="P16" s="44">
        <f t="shared" si="1"/>
        <v>861.57999999999993</v>
      </c>
      <c r="Q16" s="44">
        <f>P16/P40*1000</f>
        <v>21.812151898734175</v>
      </c>
    </row>
    <row r="17" spans="1:17" ht="18" customHeight="1" x14ac:dyDescent="0.35">
      <c r="A17" s="64" t="s">
        <v>47</v>
      </c>
      <c r="B17" s="55" t="s">
        <v>144</v>
      </c>
      <c r="C17" s="54">
        <v>137.78</v>
      </c>
      <c r="D17" s="54">
        <v>3.08</v>
      </c>
      <c r="E17" s="130">
        <v>164.28241521803835</v>
      </c>
      <c r="F17" s="130">
        <v>4.7553308599310604</v>
      </c>
      <c r="G17" s="130">
        <f>виробництво!G17+транспортування!G19+постачання!G19</f>
        <v>6626.82</v>
      </c>
      <c r="H17" s="130">
        <f>виробництво!H17+транспортування!H19+постачання!H19</f>
        <v>184.65198221127977</v>
      </c>
      <c r="I17" s="130">
        <f>виробництво!I17+транспортування!I19+постачання!I19</f>
        <v>1712.7600000000002</v>
      </c>
      <c r="J17" s="130">
        <f>виробництво!J17+транспортування!J19+постачання!J19</f>
        <v>184.65175995382558</v>
      </c>
      <c r="K17" s="130">
        <v>2.09</v>
      </c>
      <c r="L17" s="130">
        <v>3.08</v>
      </c>
      <c r="M17" s="130">
        <f>виробництво!M17+транспортування!M19+постачання!M19</f>
        <v>125.27000000000001</v>
      </c>
      <c r="N17" s="130">
        <f>виробництво!N17+транспортування!N19+постачання!N19</f>
        <v>184.64787011692624</v>
      </c>
      <c r="O17" s="14"/>
      <c r="P17" s="44">
        <f t="shared" si="1"/>
        <v>8464.85</v>
      </c>
      <c r="Q17" s="44">
        <f>P17/P40*1000</f>
        <v>214.3</v>
      </c>
    </row>
    <row r="18" spans="1:17" ht="20.25" customHeight="1" x14ac:dyDescent="0.35">
      <c r="A18" s="56" t="s">
        <v>49</v>
      </c>
      <c r="B18" s="55" t="s">
        <v>145</v>
      </c>
      <c r="C18" s="54">
        <v>5240.01</v>
      </c>
      <c r="D18" s="54">
        <v>117</v>
      </c>
      <c r="E18" s="130">
        <v>8034.1019561128678</v>
      </c>
      <c r="F18" s="130">
        <v>232.5557054480235</v>
      </c>
      <c r="G18" s="130">
        <f>виробництво!G18+транспортування!G20+постачання!G20</f>
        <v>14197</v>
      </c>
      <c r="H18" s="130">
        <f>виробництво!H18+транспортування!H20+постачання!H20</f>
        <v>399.5145344094966</v>
      </c>
      <c r="I18" s="130">
        <f>виробництво!I18+транспортування!I20+постачання!I20</f>
        <v>3669.3500000000004</v>
      </c>
      <c r="J18" s="130">
        <f>виробництво!J18+транспортування!J20+постачання!J20</f>
        <v>399.5054496826267</v>
      </c>
      <c r="K18" s="130">
        <v>79.23</v>
      </c>
      <c r="L18" s="130">
        <v>117</v>
      </c>
      <c r="M18" s="130">
        <f>виробництво!M18+транспортування!M20+постачання!M20</f>
        <v>268.38</v>
      </c>
      <c r="N18" s="130">
        <f>виробництво!N18+транспортування!N20+постачання!N20-0.01</f>
        <v>399.50614009007222</v>
      </c>
      <c r="O18" s="14"/>
      <c r="P18" s="44">
        <f t="shared" si="1"/>
        <v>18134.73</v>
      </c>
      <c r="Q18" s="44">
        <f>P18/P40*1000</f>
        <v>459.1070886075949</v>
      </c>
    </row>
    <row r="19" spans="1:17" ht="18" x14ac:dyDescent="0.35">
      <c r="A19" s="56" t="s">
        <v>51</v>
      </c>
      <c r="B19" s="55" t="s">
        <v>52</v>
      </c>
      <c r="C19" s="54">
        <v>1142.56</v>
      </c>
      <c r="D19" s="54">
        <v>25.51</v>
      </c>
      <c r="E19" s="130">
        <v>4176.7628483106555</v>
      </c>
      <c r="F19" s="130">
        <v>120.90088425364449</v>
      </c>
      <c r="G19" s="130">
        <f>G20+G21</f>
        <v>8710.4599999999991</v>
      </c>
      <c r="H19" s="130">
        <f>H20+H21</f>
        <v>246.66611013180673</v>
      </c>
      <c r="I19" s="130">
        <f>I20+I21</f>
        <v>2251.29</v>
      </c>
      <c r="J19" s="130">
        <f>J20+J21</f>
        <v>246.66518086567032</v>
      </c>
      <c r="K19" s="130">
        <v>17.29</v>
      </c>
      <c r="L19" s="130">
        <v>25.51</v>
      </c>
      <c r="M19" s="130">
        <f>M20+M21</f>
        <v>164.66</v>
      </c>
      <c r="N19" s="130">
        <f>N20+N21+0.01</f>
        <v>246.67434340826821</v>
      </c>
      <c r="O19" s="14"/>
      <c r="P19" s="44">
        <f t="shared" si="1"/>
        <v>11126.41</v>
      </c>
      <c r="Q19" s="44">
        <f>P19/P40*1000</f>
        <v>281.68126582278478</v>
      </c>
    </row>
    <row r="20" spans="1:17" ht="18" x14ac:dyDescent="0.35">
      <c r="A20" s="56" t="s">
        <v>53</v>
      </c>
      <c r="B20" s="55" t="s">
        <v>56</v>
      </c>
      <c r="C20" s="54">
        <v>806.66</v>
      </c>
      <c r="D20" s="54">
        <v>18.010000000000002</v>
      </c>
      <c r="E20" s="130">
        <v>2947.4758968707151</v>
      </c>
      <c r="F20" s="130">
        <v>85.317853847532788</v>
      </c>
      <c r="G20" s="130">
        <f>виробництво!G20+транспортування!G22+постачання!G22</f>
        <v>7040.57</v>
      </c>
      <c r="H20" s="130">
        <f>виробництво!H20+транспортування!H22+постачання!H22</f>
        <v>201.02617023788602</v>
      </c>
      <c r="I20" s="130">
        <f>виробництво!I20+транспортування!I22+постачання!I22</f>
        <v>1819.7</v>
      </c>
      <c r="J20" s="130">
        <f>виробництво!J20+транспортування!J22+постачання!J22</f>
        <v>201.02630643292653</v>
      </c>
      <c r="K20" s="130">
        <v>12.21</v>
      </c>
      <c r="L20" s="130">
        <v>18.010000000000002</v>
      </c>
      <c r="M20" s="130">
        <f>виробництво!M20+транспортування!M22+постачання!M22</f>
        <v>133.1</v>
      </c>
      <c r="N20" s="130">
        <f>виробництво!N20+транспортування!N22+постачання!N22</f>
        <v>201.02605190302205</v>
      </c>
      <c r="O20" s="14"/>
      <c r="P20" s="44">
        <f t="shared" si="1"/>
        <v>8993.3700000000008</v>
      </c>
      <c r="Q20" s="44">
        <f>P20/P40*1000</f>
        <v>227.68025316455697</v>
      </c>
    </row>
    <row r="21" spans="1:17" ht="18" x14ac:dyDescent="0.35">
      <c r="A21" s="56" t="s">
        <v>55</v>
      </c>
      <c r="B21" s="55" t="s">
        <v>311</v>
      </c>
      <c r="C21" s="54">
        <v>335.9</v>
      </c>
      <c r="D21" s="54">
        <v>7.5</v>
      </c>
      <c r="E21" s="130">
        <v>1229.286951439941</v>
      </c>
      <c r="F21" s="130">
        <v>35.583030406111703</v>
      </c>
      <c r="G21" s="130">
        <f>виробництво!G21+транспортування!G23+постачання!G23</f>
        <v>1669.8899999999999</v>
      </c>
      <c r="H21" s="130">
        <f>виробництво!H21+транспортування!H23+постачання!H23</f>
        <v>45.639939893920705</v>
      </c>
      <c r="I21" s="130">
        <f>виробництво!I21+транспортування!I23+постачання!I23</f>
        <v>431.59</v>
      </c>
      <c r="J21" s="130">
        <f>виробництво!J21+транспортування!J23+постачання!J23</f>
        <v>45.638874432743783</v>
      </c>
      <c r="K21" s="130">
        <v>5.08</v>
      </c>
      <c r="L21" s="130">
        <v>7.5</v>
      </c>
      <c r="M21" s="130">
        <f>виробництво!M21+транспортування!M23+постачання!M23</f>
        <v>31.56</v>
      </c>
      <c r="N21" s="130">
        <f>виробництво!N21+транспортування!N23+постачання!N23</f>
        <v>45.638291505246187</v>
      </c>
      <c r="O21" s="14"/>
      <c r="P21" s="44">
        <f t="shared" si="1"/>
        <v>2133.04</v>
      </c>
      <c r="Q21" s="44">
        <f>P21/P40*1000</f>
        <v>54.00101265822785</v>
      </c>
    </row>
    <row r="22" spans="1:17" ht="18" x14ac:dyDescent="0.35">
      <c r="A22" s="56" t="s">
        <v>59</v>
      </c>
      <c r="B22" s="55" t="s">
        <v>60</v>
      </c>
      <c r="C22" s="54">
        <v>3650.51</v>
      </c>
      <c r="D22" s="54">
        <v>81.510000000000005</v>
      </c>
      <c r="E22" s="130">
        <v>8406.6471456333948</v>
      </c>
      <c r="F22" s="130">
        <v>243.33942587296713</v>
      </c>
      <c r="G22" s="130">
        <f>G23+G24</f>
        <v>26657.199999999997</v>
      </c>
      <c r="H22" s="130">
        <f>H23+H24</f>
        <v>762.7582880696558</v>
      </c>
      <c r="I22" s="130">
        <f>I23+I24</f>
        <v>6889.8</v>
      </c>
      <c r="J22" s="130">
        <f>J23+J24</f>
        <v>762.75901794839206</v>
      </c>
      <c r="K22" s="130">
        <v>55.26</v>
      </c>
      <c r="L22" s="130">
        <v>81.510000000000005</v>
      </c>
      <c r="M22" s="130">
        <f>M23+M24</f>
        <v>503.92999999999995</v>
      </c>
      <c r="N22" s="130">
        <f>N23+N24-0.01</f>
        <v>762.75733635212362</v>
      </c>
      <c r="O22" s="14"/>
      <c r="P22" s="44">
        <f t="shared" si="1"/>
        <v>34050.93</v>
      </c>
      <c r="Q22" s="44">
        <f>P22/P40*1000</f>
        <v>862.04886075949366</v>
      </c>
    </row>
    <row r="23" spans="1:17" ht="20.25" customHeight="1" x14ac:dyDescent="0.35">
      <c r="A23" s="56" t="s">
        <v>61</v>
      </c>
      <c r="B23" s="55" t="s">
        <v>148</v>
      </c>
      <c r="C23" s="54">
        <v>3321.11</v>
      </c>
      <c r="D23" s="54">
        <v>74.150000000000006</v>
      </c>
      <c r="E23" s="130">
        <v>7303.0470979519923</v>
      </c>
      <c r="F23" s="130">
        <v>211.39453781665532</v>
      </c>
      <c r="G23" s="130">
        <f>виробництво!G23+транспортування!G25+постачання!G25</f>
        <v>21501.769999999997</v>
      </c>
      <c r="H23" s="130">
        <f>виробництво!H23+транспортування!H25+постачання!H25</f>
        <v>615.24676736517051</v>
      </c>
      <c r="I23" s="130">
        <f>виробництво!I23+транспортування!I25+постачання!I25</f>
        <v>5557.33</v>
      </c>
      <c r="J23" s="130">
        <f>виробництво!J23+транспортування!J25+постачання!J25</f>
        <v>615.24720115994899</v>
      </c>
      <c r="K23" s="130">
        <v>50.27</v>
      </c>
      <c r="L23" s="130">
        <v>74.150000000000006</v>
      </c>
      <c r="M23" s="130">
        <f>виробництво!M23+транспортування!M25+постачання!M25</f>
        <v>406.46999999999997</v>
      </c>
      <c r="N23" s="130">
        <f>виробництво!N23+транспортування!N25+постачання!N25</f>
        <v>615.2525143771187</v>
      </c>
      <c r="O23" s="14"/>
      <c r="P23" s="44">
        <f t="shared" si="1"/>
        <v>27465.57</v>
      </c>
      <c r="Q23" s="44">
        <f>P23/P40*1000</f>
        <v>695.33088607594937</v>
      </c>
    </row>
    <row r="24" spans="1:17" ht="18" x14ac:dyDescent="0.35">
      <c r="A24" s="56" t="s">
        <v>63</v>
      </c>
      <c r="B24" s="55" t="s">
        <v>65</v>
      </c>
      <c r="C24" s="54">
        <v>329.4</v>
      </c>
      <c r="D24" s="54">
        <v>7.36</v>
      </c>
      <c r="E24" s="130">
        <v>1103.6000476814036</v>
      </c>
      <c r="F24" s="130">
        <v>31.944888056311797</v>
      </c>
      <c r="G24" s="130">
        <f>виробництво!G24+транспортування!G26+постачання!G26</f>
        <v>5155.43</v>
      </c>
      <c r="H24" s="130">
        <f>виробництво!H24+транспортування!H26+постачання!H26</f>
        <v>147.51152070448532</v>
      </c>
      <c r="I24" s="130">
        <f>виробництво!I24+транспортування!I26+постачання!I26</f>
        <v>1332.47</v>
      </c>
      <c r="J24" s="130">
        <f>виробництво!J24+транспортування!J26+постачання!J26</f>
        <v>147.51181678844304</v>
      </c>
      <c r="K24" s="130">
        <v>4.99</v>
      </c>
      <c r="L24" s="130">
        <v>7.36</v>
      </c>
      <c r="M24" s="130">
        <f>виробництво!M24+транспортування!M26+постачання!M26</f>
        <v>97.460000000000008</v>
      </c>
      <c r="N24" s="130">
        <f>виробництво!N24+транспортування!N26+постачання!N26</f>
        <v>147.51482197500493</v>
      </c>
      <c r="O24" s="14"/>
      <c r="P24" s="44">
        <f t="shared" si="1"/>
        <v>6585.3600000000006</v>
      </c>
      <c r="Q24" s="44">
        <f>P24/P40*1000</f>
        <v>166.71797468354433</v>
      </c>
    </row>
    <row r="25" spans="1:17" ht="18" x14ac:dyDescent="0.35">
      <c r="A25" s="56" t="s">
        <v>149</v>
      </c>
      <c r="B25" s="55" t="s">
        <v>66</v>
      </c>
      <c r="C25" s="54">
        <v>1821.53</v>
      </c>
      <c r="D25" s="54">
        <v>40.67</v>
      </c>
      <c r="E25" s="130">
        <v>4089.9807236778006</v>
      </c>
      <c r="F25" s="130">
        <v>118.38888249856139</v>
      </c>
      <c r="G25" s="130">
        <f>G26+G27</f>
        <v>10893.02</v>
      </c>
      <c r="H25" s="130">
        <f>H26+H27</f>
        <v>311.68949055849049</v>
      </c>
      <c r="I25" s="130">
        <f>I26+I27</f>
        <v>2815.4</v>
      </c>
      <c r="J25" s="130">
        <f>J26+J27</f>
        <v>311.68960266129977</v>
      </c>
      <c r="K25" s="130">
        <v>27.57</v>
      </c>
      <c r="L25" s="130">
        <v>40.67</v>
      </c>
      <c r="M25" s="130">
        <f>M26+M27</f>
        <v>205.92000000000002</v>
      </c>
      <c r="N25" s="130">
        <f>N26+N27-0.01</f>
        <v>311.68771022406753</v>
      </c>
      <c r="O25" s="14"/>
      <c r="P25" s="44">
        <f t="shared" si="1"/>
        <v>13914.34</v>
      </c>
      <c r="Q25" s="44">
        <f>P25/P40*1000</f>
        <v>352.26177215189875</v>
      </c>
    </row>
    <row r="26" spans="1:17" ht="16.5" customHeight="1" x14ac:dyDescent="0.35">
      <c r="A26" s="56" t="s">
        <v>67</v>
      </c>
      <c r="B26" s="55" t="s">
        <v>148</v>
      </c>
      <c r="C26" s="54">
        <v>1705.92</v>
      </c>
      <c r="D26" s="54">
        <v>38.090000000000003</v>
      </c>
      <c r="E26" s="130">
        <v>3425.2107122297944</v>
      </c>
      <c r="F26" s="130">
        <v>99.146400909769127</v>
      </c>
      <c r="G26" s="130">
        <f>виробництво!G26+транспортування!G28+постачання!G28</f>
        <v>8842.02</v>
      </c>
      <c r="H26" s="130">
        <f>виробництво!H26+транспортування!H28+постачання!H28+0.01</f>
        <v>253.01325840614297</v>
      </c>
      <c r="I26" s="130">
        <f>виробництво!I26+транспортування!I28+постачання!I28</f>
        <v>2285.3000000000002</v>
      </c>
      <c r="J26" s="130">
        <f>виробництво!J26+транспортування!J28+постачання!J28+0.01</f>
        <v>253.01328950891241</v>
      </c>
      <c r="K26" s="130">
        <v>25.82</v>
      </c>
      <c r="L26" s="130">
        <v>38.090000000000003</v>
      </c>
      <c r="M26" s="130">
        <f>виробництво!M26+транспортування!M28+постачання!M28</f>
        <v>167.15</v>
      </c>
      <c r="N26" s="130">
        <f>виробництво!N26+транспортування!N28+постачання!N28+0.01</f>
        <v>253.01485872593327</v>
      </c>
      <c r="O26" s="14"/>
      <c r="P26" s="44">
        <f t="shared" si="1"/>
        <v>11294.47</v>
      </c>
      <c r="Q26" s="44">
        <f>P26/P40*1000</f>
        <v>285.9359493670886</v>
      </c>
    </row>
    <row r="27" spans="1:17" ht="18" x14ac:dyDescent="0.35">
      <c r="A27" s="56" t="s">
        <v>68</v>
      </c>
      <c r="B27" s="55" t="s">
        <v>65</v>
      </c>
      <c r="C27" s="54">
        <v>115.61</v>
      </c>
      <c r="D27" s="54">
        <v>2.58</v>
      </c>
      <c r="E27" s="130">
        <v>664.7700114480067</v>
      </c>
      <c r="F27" s="130">
        <v>19.242481588792273</v>
      </c>
      <c r="G27" s="130">
        <f>виробництво!G27+транспортування!G29+постачання!G29</f>
        <v>2051.0000000000005</v>
      </c>
      <c r="H27" s="130">
        <f>виробництво!H27+транспортування!H29+постачання!H29</f>
        <v>58.676232152347517</v>
      </c>
      <c r="I27" s="130">
        <f>виробництво!I27+транспортування!I29+постачання!I29</f>
        <v>530.1</v>
      </c>
      <c r="J27" s="130">
        <f>виробництво!J27+транспортування!J29+постачання!J29</f>
        <v>58.676313152387365</v>
      </c>
      <c r="K27" s="130">
        <v>1.75</v>
      </c>
      <c r="L27" s="130">
        <v>2.58</v>
      </c>
      <c r="M27" s="130">
        <f>виробництво!M27+транспортування!M29+постачання!M29</f>
        <v>38.769999999999996</v>
      </c>
      <c r="N27" s="130">
        <f>виробництво!N27+транспортування!N29+постачання!N29</f>
        <v>58.682851498134269</v>
      </c>
      <c r="O27" s="14"/>
      <c r="P27" s="44">
        <f t="shared" si="1"/>
        <v>2619.8700000000003</v>
      </c>
      <c r="Q27" s="44">
        <f>P27/P40*1000</f>
        <v>66.325822784810143</v>
      </c>
    </row>
    <row r="28" spans="1:17" ht="18" x14ac:dyDescent="0.35">
      <c r="A28" s="56" t="s">
        <v>151</v>
      </c>
      <c r="B28" s="55" t="s">
        <v>71</v>
      </c>
      <c r="C28" s="54">
        <v>47.03</v>
      </c>
      <c r="D28" s="54">
        <v>1.05</v>
      </c>
      <c r="E28" s="130">
        <v>0</v>
      </c>
      <c r="F28" s="130">
        <v>0</v>
      </c>
      <c r="G28" s="130">
        <f>постачання!G30</f>
        <v>1217.0999999999999</v>
      </c>
      <c r="H28" s="130">
        <f>постачання!H30</f>
        <v>38.668784749801425</v>
      </c>
      <c r="I28" s="130">
        <f>постачання!I30</f>
        <v>314.57</v>
      </c>
      <c r="J28" s="130">
        <f>постачання!J30</f>
        <v>38.668715427166568</v>
      </c>
      <c r="K28" s="130">
        <v>0.71</v>
      </c>
      <c r="L28" s="130">
        <v>1.05</v>
      </c>
      <c r="M28" s="130">
        <f>постачання!M30</f>
        <v>23.01</v>
      </c>
      <c r="N28" s="130">
        <f>постачання!N30</f>
        <v>38.67226890756303</v>
      </c>
      <c r="O28" s="14"/>
      <c r="P28" s="44">
        <f t="shared" si="1"/>
        <v>1554.6799999999998</v>
      </c>
      <c r="Q28" s="44">
        <f>P28/P40*1000</f>
        <v>39.358987341772149</v>
      </c>
    </row>
    <row r="29" spans="1:17" ht="22.5" customHeight="1" x14ac:dyDescent="0.35">
      <c r="A29" s="56" t="s">
        <v>72</v>
      </c>
      <c r="B29" s="55" t="s">
        <v>148</v>
      </c>
      <c r="C29" s="54">
        <v>44.79</v>
      </c>
      <c r="D29" s="54">
        <v>1</v>
      </c>
      <c r="E29" s="130">
        <v>0</v>
      </c>
      <c r="F29" s="130">
        <v>0</v>
      </c>
      <c r="G29" s="130">
        <f>G28</f>
        <v>1217.0999999999999</v>
      </c>
      <c r="H29" s="130">
        <f>H28</f>
        <v>38.668784749801425</v>
      </c>
      <c r="I29" s="130">
        <f>I28</f>
        <v>314.57</v>
      </c>
      <c r="J29" s="130">
        <f>J28</f>
        <v>38.668715427166568</v>
      </c>
      <c r="K29" s="130">
        <v>0.68</v>
      </c>
      <c r="L29" s="130">
        <v>1</v>
      </c>
      <c r="M29" s="130">
        <f>M28</f>
        <v>23.01</v>
      </c>
      <c r="N29" s="130">
        <f>постачання!N30</f>
        <v>38.67226890756303</v>
      </c>
      <c r="O29" s="14"/>
      <c r="P29" s="44">
        <f t="shared" si="1"/>
        <v>1554.6799999999998</v>
      </c>
      <c r="Q29" s="44">
        <f>P29/P40*1000</f>
        <v>39.358987341772149</v>
      </c>
    </row>
    <row r="30" spans="1:17" ht="18" x14ac:dyDescent="0.35">
      <c r="A30" s="56" t="s">
        <v>73</v>
      </c>
      <c r="B30" s="55" t="s">
        <v>65</v>
      </c>
      <c r="C30" s="54">
        <v>2.2400000000000002</v>
      </c>
      <c r="D30" s="54">
        <v>0.05</v>
      </c>
      <c r="E30" s="130">
        <v>0</v>
      </c>
      <c r="F30" s="130">
        <v>0</v>
      </c>
      <c r="G30" s="130">
        <f>виробництво!G30+транспортування!G32+постачання!G32</f>
        <v>0</v>
      </c>
      <c r="H30" s="130">
        <f>транспортування!H32+постачання!H32</f>
        <v>0</v>
      </c>
      <c r="I30" s="130">
        <f>транспортування!I32+постачання!I32</f>
        <v>0</v>
      </c>
      <c r="J30" s="130">
        <f>транспортування!J32+постачання!J32</f>
        <v>0</v>
      </c>
      <c r="K30" s="130">
        <v>0.03</v>
      </c>
      <c r="L30" s="130">
        <v>0.05</v>
      </c>
      <c r="M30" s="130">
        <f>транспортування!M32+постачання!M32</f>
        <v>0</v>
      </c>
      <c r="N30" s="130">
        <v>0</v>
      </c>
      <c r="O30" s="14"/>
      <c r="P30" s="44">
        <f t="shared" si="1"/>
        <v>0</v>
      </c>
      <c r="Q30" s="44">
        <f>P30/P40*1000</f>
        <v>0</v>
      </c>
    </row>
    <row r="31" spans="1:17" ht="18" x14ac:dyDescent="0.35">
      <c r="A31" s="56" t="s">
        <v>153</v>
      </c>
      <c r="B31" s="55" t="s">
        <v>154</v>
      </c>
      <c r="C31" s="54"/>
      <c r="D31" s="54"/>
      <c r="E31" s="130">
        <v>0</v>
      </c>
      <c r="F31" s="130">
        <v>0</v>
      </c>
      <c r="G31" s="130">
        <v>0</v>
      </c>
      <c r="H31" s="130">
        <v>0</v>
      </c>
      <c r="I31" s="130">
        <v>0</v>
      </c>
      <c r="J31" s="130">
        <v>0</v>
      </c>
      <c r="K31" s="130"/>
      <c r="L31" s="130"/>
      <c r="M31" s="130">
        <v>0</v>
      </c>
      <c r="N31" s="130">
        <v>0</v>
      </c>
      <c r="O31" s="14"/>
      <c r="P31" s="44">
        <f t="shared" si="1"/>
        <v>0</v>
      </c>
      <c r="Q31" s="44">
        <f>P31/P40*1000</f>
        <v>0</v>
      </c>
    </row>
    <row r="32" spans="1:17" ht="18" x14ac:dyDescent="0.35">
      <c r="A32" s="56" t="s">
        <v>155</v>
      </c>
      <c r="B32" s="55" t="s">
        <v>156</v>
      </c>
      <c r="C32" s="54">
        <v>64797.58</v>
      </c>
      <c r="D32" s="54">
        <v>1446.81</v>
      </c>
      <c r="E32" s="130">
        <v>78326.247044498319</v>
      </c>
      <c r="F32" s="130">
        <v>2267.2373011983182</v>
      </c>
      <c r="G32" s="130">
        <f>G8+G25+G28</f>
        <v>140374.04999999999</v>
      </c>
      <c r="H32" s="130">
        <f>виробництво!H32+транспортування!H34+постачання!H34-0.01</f>
        <v>3920.4552439879117</v>
      </c>
      <c r="I32" s="130">
        <f>I8+I25+I28</f>
        <v>54926.430000000008</v>
      </c>
      <c r="J32" s="130">
        <f>J8+J25+J28</f>
        <v>5875.3375494912261</v>
      </c>
      <c r="K32" s="130">
        <v>980.82</v>
      </c>
      <c r="L32" s="130">
        <v>1446.81</v>
      </c>
      <c r="M32" s="130">
        <f>M8+M25+M28</f>
        <v>4601</v>
      </c>
      <c r="N32" s="130">
        <f>N8+N25+N28</f>
        <v>6711.9729829553698</v>
      </c>
      <c r="O32" s="14"/>
      <c r="P32" s="44">
        <f t="shared" si="1"/>
        <v>199901.47999999998</v>
      </c>
      <c r="Q32" s="44">
        <f>P32/P40*1000</f>
        <v>5060.7969620253161</v>
      </c>
    </row>
    <row r="33" spans="1:17" ht="18" x14ac:dyDescent="0.35">
      <c r="A33" s="56" t="s">
        <v>157</v>
      </c>
      <c r="B33" s="55" t="s">
        <v>158</v>
      </c>
      <c r="C33" s="54"/>
      <c r="D33" s="54"/>
      <c r="E33" s="130">
        <v>0</v>
      </c>
      <c r="F33" s="130">
        <v>0</v>
      </c>
      <c r="G33" s="130">
        <v>0</v>
      </c>
      <c r="H33" s="130">
        <v>0</v>
      </c>
      <c r="I33" s="130">
        <v>0</v>
      </c>
      <c r="J33" s="130">
        <v>0</v>
      </c>
      <c r="K33" s="130"/>
      <c r="L33" s="130"/>
      <c r="M33" s="130">
        <v>0</v>
      </c>
      <c r="N33" s="130">
        <v>0</v>
      </c>
      <c r="O33" s="14"/>
      <c r="P33" s="44">
        <f t="shared" si="1"/>
        <v>0</v>
      </c>
      <c r="Q33" s="44">
        <f>P33/P40*1000</f>
        <v>0</v>
      </c>
    </row>
    <row r="34" spans="1:17" ht="18" x14ac:dyDescent="0.35">
      <c r="A34" s="56" t="s">
        <v>159</v>
      </c>
      <c r="B34" s="55" t="s">
        <v>362</v>
      </c>
      <c r="C34" s="54"/>
      <c r="D34" s="54"/>
      <c r="E34" s="130">
        <v>0</v>
      </c>
      <c r="F34" s="130">
        <v>0</v>
      </c>
      <c r="G34" s="130">
        <f>G35+G36+G37+G38</f>
        <v>4493.8927999999996</v>
      </c>
      <c r="H34" s="130">
        <f>H35+H37-0.01</f>
        <v>130.54584693194607</v>
      </c>
      <c r="I34" s="130">
        <f t="shared" ref="I34" si="2">I35+I36+I37+I38</f>
        <v>1584.2797999999998</v>
      </c>
      <c r="J34" s="130">
        <f>J35+J37+0.01</f>
        <v>174.8835891297332</v>
      </c>
      <c r="K34" s="130">
        <f t="shared" ref="K34" si="3">K35+K36+K37+K38</f>
        <v>2291.8810000000003</v>
      </c>
      <c r="L34" s="130">
        <f t="shared" ref="L34" si="4">L35+L37</f>
        <v>3373.2562619469022</v>
      </c>
      <c r="M34" s="130">
        <f t="shared" ref="M34" si="5">M35+M36+M37+M38</f>
        <v>129.10559999999998</v>
      </c>
      <c r="N34" s="130">
        <f>N35+N37</f>
        <v>193.84251480038867</v>
      </c>
      <c r="O34" s="14"/>
      <c r="P34" s="44">
        <f t="shared" si="1"/>
        <v>6207.2781999999997</v>
      </c>
      <c r="Q34" s="44">
        <f>P34/P40*1000</f>
        <v>157.1462835443038</v>
      </c>
    </row>
    <row r="35" spans="1:17" ht="18" x14ac:dyDescent="0.35">
      <c r="A35" s="56" t="s">
        <v>79</v>
      </c>
      <c r="B35" s="55" t="s">
        <v>80</v>
      </c>
      <c r="C35" s="54"/>
      <c r="D35" s="54"/>
      <c r="E35" s="130">
        <v>0</v>
      </c>
      <c r="F35" s="130">
        <v>0</v>
      </c>
      <c r="G35" s="130">
        <f>виробництво!G35+транспортування!G37</f>
        <v>685.51279999999997</v>
      </c>
      <c r="H35" s="130">
        <f>(H37+H38)*0.18+0.01</f>
        <v>19.923773260805334</v>
      </c>
      <c r="I35" s="130">
        <f>виробництво!I35+транспортування!I37</f>
        <v>241.66979999999995</v>
      </c>
      <c r="J35" s="130">
        <f>(J37+J38)*0.18</f>
        <v>26.675632240128792</v>
      </c>
      <c r="K35" s="130">
        <f>виробництво!K35+транспортування!K37</f>
        <v>351.99099999999999</v>
      </c>
      <c r="L35" s="130">
        <f t="shared" ref="L35" si="6">(L37+L38)*0.18</f>
        <v>515.01449203539812</v>
      </c>
      <c r="M35" s="130">
        <f>виробництво!M35+транспортування!M37-0.01</f>
        <v>19.685599999999997</v>
      </c>
      <c r="N35" s="130">
        <f>(N37+N38)*0.18</f>
        <v>29.569197172940644</v>
      </c>
      <c r="O35" s="14"/>
      <c r="P35" s="44">
        <f t="shared" si="1"/>
        <v>946.86819999999989</v>
      </c>
      <c r="Q35" s="44">
        <f>P35/P40*1000</f>
        <v>23.971346835443036</v>
      </c>
    </row>
    <row r="36" spans="1:17" ht="18" x14ac:dyDescent="0.35">
      <c r="A36" s="56" t="s">
        <v>81</v>
      </c>
      <c r="B36" s="55" t="s">
        <v>161</v>
      </c>
      <c r="C36" s="54"/>
      <c r="D36" s="54"/>
      <c r="E36" s="130">
        <v>0</v>
      </c>
      <c r="F36" s="130">
        <v>0</v>
      </c>
      <c r="G36" s="130">
        <f>виробництво!G36+транспортування!G38</f>
        <v>0</v>
      </c>
      <c r="H36" s="130">
        <v>0</v>
      </c>
      <c r="I36" s="130">
        <f>виробництво!I36+транспортування!I38</f>
        <v>0</v>
      </c>
      <c r="J36" s="130">
        <v>0</v>
      </c>
      <c r="K36" s="130">
        <f>виробництво!K36+транспортування!K38</f>
        <v>0</v>
      </c>
      <c r="L36" s="130">
        <v>2</v>
      </c>
      <c r="M36" s="130">
        <f>виробництво!M36+транспортування!M38</f>
        <v>0</v>
      </c>
      <c r="N36" s="130">
        <v>0</v>
      </c>
      <c r="O36" s="14"/>
      <c r="P36" s="44">
        <f t="shared" si="1"/>
        <v>0</v>
      </c>
      <c r="Q36" s="44">
        <f>P36/P40*1000</f>
        <v>0</v>
      </c>
    </row>
    <row r="37" spans="1:17" ht="18" x14ac:dyDescent="0.35">
      <c r="A37" s="56" t="s">
        <v>83</v>
      </c>
      <c r="B37" s="55" t="s">
        <v>162</v>
      </c>
      <c r="C37" s="54"/>
      <c r="D37" s="54"/>
      <c r="E37" s="130">
        <v>0</v>
      </c>
      <c r="F37" s="130">
        <v>0</v>
      </c>
      <c r="G37" s="130">
        <f>виробництво!G37+транспортування!G39</f>
        <v>3808.38</v>
      </c>
      <c r="H37" s="130">
        <f>виробництво!H37+транспортування!H39</f>
        <v>110.63207367114073</v>
      </c>
      <c r="I37" s="130">
        <f>виробництво!I37+транспортування!I39</f>
        <v>1342.61</v>
      </c>
      <c r="J37" s="130">
        <f>виробництво!J37+транспортування!J39</f>
        <v>148.1979568896044</v>
      </c>
      <c r="K37" s="130">
        <f>виробництво!K37+транспортування!K39</f>
        <v>1937.89</v>
      </c>
      <c r="L37" s="130">
        <f>виробництво!L37+транспортування!L39</f>
        <v>2858.241769911504</v>
      </c>
      <c r="M37" s="130">
        <f>виробництво!M37+транспортування!M39</f>
        <v>109.41999999999999</v>
      </c>
      <c r="N37" s="130">
        <f>виробництво!N37+транспортування!N39+0.01</f>
        <v>164.27331762744802</v>
      </c>
      <c r="O37" s="14"/>
      <c r="P37" s="44">
        <f t="shared" si="1"/>
        <v>5260.41</v>
      </c>
      <c r="Q37" s="44">
        <f>P37/P40*1000</f>
        <v>133.17493670886077</v>
      </c>
    </row>
    <row r="38" spans="1:17" ht="18" x14ac:dyDescent="0.35">
      <c r="A38" s="56" t="s">
        <v>85</v>
      </c>
      <c r="B38" s="55" t="s">
        <v>303</v>
      </c>
      <c r="C38" s="54"/>
      <c r="D38" s="54"/>
      <c r="E38" s="130">
        <v>0</v>
      </c>
      <c r="F38" s="130">
        <v>0</v>
      </c>
      <c r="G38" s="130">
        <v>0</v>
      </c>
      <c r="H38" s="130">
        <f>G38/G40*1000</f>
        <v>0</v>
      </c>
      <c r="I38" s="130">
        <v>0</v>
      </c>
      <c r="J38" s="130">
        <f t="shared" ref="J38" si="7">I38/I40*1000</f>
        <v>0</v>
      </c>
      <c r="K38" s="130">
        <v>2</v>
      </c>
      <c r="L38" s="130">
        <f t="shared" ref="L38" si="8">K38/K40*1000</f>
        <v>2.9498525073746311</v>
      </c>
      <c r="M38" s="130">
        <v>0</v>
      </c>
      <c r="N38" s="130">
        <f t="shared" ref="N38" si="9">M38/M40*1000</f>
        <v>0</v>
      </c>
      <c r="O38" s="14"/>
      <c r="P38" s="44">
        <f t="shared" si="1"/>
        <v>0</v>
      </c>
      <c r="Q38" s="44">
        <f>P38/P40*1000</f>
        <v>0</v>
      </c>
    </row>
    <row r="39" spans="1:17" ht="18" x14ac:dyDescent="0.35">
      <c r="A39" s="56" t="s">
        <v>163</v>
      </c>
      <c r="B39" s="55" t="s">
        <v>164</v>
      </c>
      <c r="C39" s="54">
        <v>64797.58</v>
      </c>
      <c r="D39" s="54">
        <v>1446.81</v>
      </c>
      <c r="E39" s="130">
        <v>78326.247044498319</v>
      </c>
      <c r="F39" s="130">
        <v>2267.2273011983179</v>
      </c>
      <c r="G39" s="130">
        <f>G32+G34</f>
        <v>144867.94279999999</v>
      </c>
      <c r="H39" s="130">
        <f>виробництво!H39+транспортування!H41+постачання!H41</f>
        <v>4051.011230713345</v>
      </c>
      <c r="I39" s="130">
        <f>I32+I34</f>
        <v>56510.709800000004</v>
      </c>
      <c r="J39" s="130">
        <f>J32+J34</f>
        <v>6050.2211386209592</v>
      </c>
      <c r="K39" s="130">
        <v>1078.9100000000001</v>
      </c>
      <c r="L39" s="130">
        <v>1591.49</v>
      </c>
      <c r="M39" s="130">
        <f>M32+M34</f>
        <v>4730.1055999999999</v>
      </c>
      <c r="N39" s="130">
        <f>N32+N34-0.01</f>
        <v>6905.8054977557586</v>
      </c>
      <c r="O39" s="14"/>
      <c r="P39" s="44">
        <f t="shared" si="1"/>
        <v>206108.75820000001</v>
      </c>
      <c r="Q39" s="44">
        <f>P39/P40*1000</f>
        <v>5217.9432455696206</v>
      </c>
    </row>
    <row r="40" spans="1:17" ht="15.75" customHeight="1" x14ac:dyDescent="0.35">
      <c r="A40" s="56">
        <v>9</v>
      </c>
      <c r="B40" s="55" t="s">
        <v>360</v>
      </c>
      <c r="C40" s="54">
        <v>44786.45</v>
      </c>
      <c r="D40" s="54"/>
      <c r="E40" s="130">
        <v>34547</v>
      </c>
      <c r="F40" s="130">
        <v>0</v>
      </c>
      <c r="G40" s="130">
        <v>31247</v>
      </c>
      <c r="H40" s="132" t="s">
        <v>35</v>
      </c>
      <c r="I40" s="130">
        <v>7661</v>
      </c>
      <c r="J40" s="132" t="s">
        <v>35</v>
      </c>
      <c r="K40" s="130">
        <v>678</v>
      </c>
      <c r="L40" s="130"/>
      <c r="M40" s="130">
        <v>592</v>
      </c>
      <c r="N40" s="132" t="s">
        <v>35</v>
      </c>
      <c r="O40" s="14"/>
      <c r="P40" s="44">
        <f>G40+I40+M40</f>
        <v>39500</v>
      </c>
      <c r="Q40" s="44"/>
    </row>
    <row r="41" spans="1:17" ht="15.75" customHeight="1" x14ac:dyDescent="0.35">
      <c r="A41" s="56">
        <v>10</v>
      </c>
      <c r="B41" s="55" t="s">
        <v>364</v>
      </c>
      <c r="C41" s="54"/>
      <c r="D41" s="54"/>
      <c r="E41" s="130"/>
      <c r="F41" s="130"/>
      <c r="G41" s="130">
        <v>36902.99</v>
      </c>
      <c r="H41" s="132"/>
      <c r="I41" s="130">
        <v>9537.91</v>
      </c>
      <c r="J41" s="132"/>
      <c r="K41" s="130"/>
      <c r="L41" s="130"/>
      <c r="M41" s="130">
        <v>697.61</v>
      </c>
      <c r="N41" s="132"/>
      <c r="O41" s="14"/>
      <c r="P41" s="44">
        <f>G41+I41+M41</f>
        <v>47138.509999999995</v>
      </c>
      <c r="Q41" s="44"/>
    </row>
    <row r="42" spans="1:17" ht="18" x14ac:dyDescent="0.35">
      <c r="A42" s="56">
        <v>11</v>
      </c>
      <c r="B42" s="55" t="s">
        <v>358</v>
      </c>
      <c r="C42" s="54"/>
      <c r="D42" s="54">
        <v>1446.81</v>
      </c>
      <c r="E42" s="130">
        <v>0</v>
      </c>
      <c r="F42" s="130">
        <v>2267.2273011983179</v>
      </c>
      <c r="G42" s="132" t="s">
        <v>35</v>
      </c>
      <c r="H42" s="130">
        <f>H39</f>
        <v>4051.011230713345</v>
      </c>
      <c r="I42" s="132" t="s">
        <v>35</v>
      </c>
      <c r="J42" s="130">
        <f>J39</f>
        <v>6050.2211386209592</v>
      </c>
      <c r="K42" s="130"/>
      <c r="L42" s="130">
        <v>1591.49</v>
      </c>
      <c r="M42" s="132" t="s">
        <v>35</v>
      </c>
      <c r="N42" s="130">
        <f>N39</f>
        <v>6905.8054977557586</v>
      </c>
      <c r="O42" s="14"/>
    </row>
    <row r="43" spans="1:17" ht="18" hidden="1" x14ac:dyDescent="0.35">
      <c r="A43" s="56" t="s">
        <v>165</v>
      </c>
      <c r="B43" s="55" t="s">
        <v>166</v>
      </c>
      <c r="C43" s="54"/>
      <c r="D43" s="54">
        <v>1110.27</v>
      </c>
      <c r="E43" s="130">
        <v>49907.870589102793</v>
      </c>
      <c r="F43" s="130">
        <v>1444.6368885605928</v>
      </c>
      <c r="G43" s="132">
        <v>49907.870589102793</v>
      </c>
      <c r="H43" s="130">
        <v>1444.6368885605928</v>
      </c>
      <c r="I43" s="132">
        <v>17172.550882001957</v>
      </c>
      <c r="J43" s="130">
        <v>2452.170624304149</v>
      </c>
      <c r="K43" s="130"/>
      <c r="L43" s="130">
        <v>1110.27</v>
      </c>
      <c r="M43" s="132">
        <v>1239.0273220193383</v>
      </c>
      <c r="N43" s="130">
        <v>2452.1730605982648</v>
      </c>
      <c r="O43" s="14"/>
    </row>
    <row r="44" spans="1:17" ht="18" hidden="1" x14ac:dyDescent="0.35">
      <c r="A44" s="56" t="s">
        <v>167</v>
      </c>
      <c r="B44" s="55" t="s">
        <v>168</v>
      </c>
      <c r="C44" s="54"/>
      <c r="D44" s="54">
        <v>336.54</v>
      </c>
      <c r="E44" s="130">
        <v>20773.532643727402</v>
      </c>
      <c r="F44" s="130">
        <v>822.60041263772598</v>
      </c>
      <c r="G44" s="132">
        <v>20773.532643727402</v>
      </c>
      <c r="H44" s="130">
        <v>822.60041263772598</v>
      </c>
      <c r="I44" s="132">
        <v>4409.8738832322088</v>
      </c>
      <c r="J44" s="130">
        <v>851.00031730375304</v>
      </c>
      <c r="K44" s="130"/>
      <c r="L44" s="130">
        <v>481.22</v>
      </c>
      <c r="M44" s="132">
        <v>318.18108253397389</v>
      </c>
      <c r="N44" s="130">
        <v>850.99568638936944</v>
      </c>
      <c r="O44" s="14"/>
    </row>
    <row r="45" spans="1:17" ht="18" hidden="1" x14ac:dyDescent="0.35">
      <c r="A45" s="56" t="s">
        <v>169</v>
      </c>
      <c r="B45" s="55" t="s">
        <v>170</v>
      </c>
      <c r="C45" s="54"/>
      <c r="D45" s="54">
        <v>76.739999999999995</v>
      </c>
      <c r="E45" s="130">
        <v>63.71793935275538</v>
      </c>
      <c r="F45" s="130">
        <v>63.718220391799527</v>
      </c>
      <c r="G45" s="132">
        <v>63.71793935275538</v>
      </c>
      <c r="H45" s="130">
        <v>63.718220391799527</v>
      </c>
      <c r="I45" s="132">
        <v>74.236867169535373</v>
      </c>
      <c r="J45" s="130">
        <v>74.236867169535373</v>
      </c>
      <c r="K45" s="130"/>
      <c r="L45" s="130">
        <v>69.760000000000005</v>
      </c>
      <c r="M45" s="132">
        <v>74.236776388072371</v>
      </c>
      <c r="N45" s="130">
        <v>74.236990248668178</v>
      </c>
      <c r="O45" s="14"/>
    </row>
    <row r="46" spans="1:17" ht="18" hidden="1" x14ac:dyDescent="0.35">
      <c r="A46" s="56" t="s">
        <v>171</v>
      </c>
      <c r="B46" s="55" t="s">
        <v>172</v>
      </c>
      <c r="C46" s="54"/>
      <c r="D46" s="54">
        <v>23.26</v>
      </c>
      <c r="E46" s="130">
        <v>36.28206064724462</v>
      </c>
      <c r="F46" s="130">
        <v>36.281779608200473</v>
      </c>
      <c r="G46" s="132">
        <v>36.28206064724462</v>
      </c>
      <c r="H46" s="130">
        <v>36.281779608200473</v>
      </c>
      <c r="I46" s="132">
        <v>25.763132830464627</v>
      </c>
      <c r="J46" s="130">
        <v>25.763132830464627</v>
      </c>
      <c r="K46" s="130"/>
      <c r="L46" s="130">
        <v>30.24</v>
      </c>
      <c r="M46" s="132">
        <v>25.763223611927629</v>
      </c>
      <c r="N46" s="130">
        <v>25.763009751331822</v>
      </c>
      <c r="O46" s="14"/>
    </row>
    <row r="47" spans="1:17" ht="18.75" hidden="1" customHeight="1" x14ac:dyDescent="0.35">
      <c r="A47" s="56" t="s">
        <v>173</v>
      </c>
      <c r="B47" s="55" t="s">
        <v>174</v>
      </c>
      <c r="C47" s="54">
        <v>44786.45</v>
      </c>
      <c r="D47" s="54"/>
      <c r="E47" s="130">
        <v>34547</v>
      </c>
      <c r="F47" s="130">
        <v>0</v>
      </c>
      <c r="G47" s="132">
        <v>34547</v>
      </c>
      <c r="H47" s="130">
        <v>0</v>
      </c>
      <c r="I47" s="132">
        <v>7003</v>
      </c>
      <c r="J47" s="130">
        <v>0</v>
      </c>
      <c r="K47" s="130">
        <v>678</v>
      </c>
      <c r="L47" s="130"/>
      <c r="M47" s="132">
        <v>505.27727505376345</v>
      </c>
      <c r="N47" s="130">
        <v>0</v>
      </c>
      <c r="O47" s="14"/>
    </row>
    <row r="48" spans="1:17" ht="18" hidden="1" x14ac:dyDescent="0.35">
      <c r="A48" s="56" t="s">
        <v>175</v>
      </c>
      <c r="B48" s="55" t="s">
        <v>176</v>
      </c>
      <c r="C48" s="54"/>
      <c r="D48" s="54"/>
      <c r="E48" s="130">
        <v>0</v>
      </c>
      <c r="F48" s="130">
        <v>2720.6827614379818</v>
      </c>
      <c r="G48" s="132">
        <v>0</v>
      </c>
      <c r="H48" s="130">
        <v>2720.6827614379818</v>
      </c>
      <c r="I48" s="132">
        <v>0</v>
      </c>
      <c r="J48" s="130">
        <v>0</v>
      </c>
      <c r="K48" s="130"/>
      <c r="L48" s="130"/>
      <c r="M48" s="132">
        <v>0</v>
      </c>
      <c r="N48" s="130">
        <v>0</v>
      </c>
      <c r="O48" s="14"/>
    </row>
    <row r="49" spans="1:15" ht="21" customHeight="1" x14ac:dyDescent="0.35">
      <c r="A49" s="135">
        <v>12</v>
      </c>
      <c r="B49" s="55" t="s">
        <v>359</v>
      </c>
      <c r="C49" s="54"/>
      <c r="D49" s="54">
        <v>1736.17</v>
      </c>
      <c r="E49" s="130">
        <v>0</v>
      </c>
      <c r="F49" s="130">
        <v>2720.6847614379822</v>
      </c>
      <c r="G49" s="132" t="s">
        <v>35</v>
      </c>
      <c r="H49" s="130">
        <f>H42*1.2</f>
        <v>4861.2134768560136</v>
      </c>
      <c r="I49" s="132" t="s">
        <v>35</v>
      </c>
      <c r="J49" s="130">
        <f>J42*1.2-0.01</f>
        <v>7260.2553663451508</v>
      </c>
      <c r="K49" s="130"/>
      <c r="L49" s="130">
        <v>1909.79</v>
      </c>
      <c r="M49" s="132" t="s">
        <v>35</v>
      </c>
      <c r="N49" s="130">
        <f>N39*1.2</f>
        <v>8286.9665973069095</v>
      </c>
      <c r="O49" s="14"/>
    </row>
    <row r="50" spans="1:15" ht="18" hidden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18" hidden="1" x14ac:dyDescent="0.35">
      <c r="A51" s="66" t="s">
        <v>310</v>
      </c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15"/>
    </row>
    <row r="52" spans="1:15" ht="0.7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1:15" ht="27.75" customHeight="1" x14ac:dyDescent="0.35">
      <c r="A53" s="66" t="s">
        <v>371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15"/>
    </row>
    <row r="54" spans="1:15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K4:L4"/>
    <mergeCell ref="A51:N51"/>
    <mergeCell ref="A53:N53"/>
    <mergeCell ref="O4:O5"/>
    <mergeCell ref="C5:D5"/>
    <mergeCell ref="E5:F5"/>
    <mergeCell ref="K5:L5"/>
    <mergeCell ref="G4:H5"/>
    <mergeCell ref="I4:J5"/>
    <mergeCell ref="M4:N5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5308-C59D-4371-A94C-A5806959AD14}">
  <dimension ref="A1:P60"/>
  <sheetViews>
    <sheetView topLeftCell="A25" workbookViewId="0">
      <selection activeCell="B4" sqref="B4:B6"/>
    </sheetView>
  </sheetViews>
  <sheetFormatPr defaultRowHeight="14.4" x14ac:dyDescent="0.3"/>
  <cols>
    <col min="1" max="1" width="7.109375" customWidth="1"/>
    <col min="2" max="2" width="81.5546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8.6640625" customWidth="1"/>
    <col min="8" max="8" width="17.33203125" customWidth="1"/>
    <col min="9" max="9" width="17.6640625" customWidth="1"/>
    <col min="10" max="10" width="17.44140625" customWidth="1"/>
    <col min="11" max="11" width="18.5546875" hidden="1" customWidth="1"/>
    <col min="12" max="12" width="0.33203125" hidden="1" customWidth="1"/>
    <col min="13" max="13" width="18.88671875" customWidth="1"/>
    <col min="14" max="14" width="15.44140625" customWidth="1"/>
    <col min="15" max="15" width="14.88671875" hidden="1" customWidth="1"/>
    <col min="16" max="16" width="12.6640625" hidden="1" customWidth="1"/>
  </cols>
  <sheetData>
    <row r="1" spans="1:16" ht="77.25" customHeight="1" x14ac:dyDescent="0.3">
      <c r="F1" s="72"/>
      <c r="G1" s="72"/>
      <c r="H1" s="72"/>
      <c r="M1" s="73" t="s">
        <v>314</v>
      </c>
      <c r="N1" s="73"/>
    </row>
    <row r="2" spans="1:16" ht="21" customHeight="1" x14ac:dyDescent="0.3">
      <c r="A2" s="74" t="s">
        <v>363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6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6" ht="12.75" customHeight="1" x14ac:dyDescent="0.3">
      <c r="A4" s="115" t="s">
        <v>323</v>
      </c>
      <c r="B4" s="110" t="s">
        <v>133</v>
      </c>
      <c r="C4" s="110" t="s">
        <v>290</v>
      </c>
      <c r="D4" s="110"/>
      <c r="E4" s="110" t="s">
        <v>291</v>
      </c>
      <c r="F4" s="110"/>
      <c r="G4" s="111" t="s">
        <v>300</v>
      </c>
      <c r="H4" s="112"/>
      <c r="I4" s="111" t="s">
        <v>307</v>
      </c>
      <c r="J4" s="112"/>
      <c r="K4" s="110" t="s">
        <v>290</v>
      </c>
      <c r="L4" s="110"/>
      <c r="M4" s="111" t="s">
        <v>308</v>
      </c>
      <c r="N4" s="112"/>
    </row>
    <row r="5" spans="1:16" ht="30" customHeight="1" x14ac:dyDescent="0.3">
      <c r="A5" s="115"/>
      <c r="B5" s="110"/>
      <c r="C5" s="110" t="s">
        <v>293</v>
      </c>
      <c r="D5" s="110"/>
      <c r="E5" s="110" t="s">
        <v>300</v>
      </c>
      <c r="F5" s="110"/>
      <c r="G5" s="113"/>
      <c r="H5" s="114"/>
      <c r="I5" s="113"/>
      <c r="J5" s="114"/>
      <c r="K5" s="110" t="s">
        <v>294</v>
      </c>
      <c r="L5" s="110"/>
      <c r="M5" s="113"/>
      <c r="N5" s="114"/>
    </row>
    <row r="6" spans="1:16" ht="15" customHeight="1" x14ac:dyDescent="0.35">
      <c r="A6" s="115"/>
      <c r="B6" s="110"/>
      <c r="C6" s="50" t="s">
        <v>135</v>
      </c>
      <c r="D6" s="50" t="s">
        <v>134</v>
      </c>
      <c r="E6" s="50" t="s">
        <v>135</v>
      </c>
      <c r="F6" s="50" t="s">
        <v>134</v>
      </c>
      <c r="G6" s="51" t="s">
        <v>313</v>
      </c>
      <c r="H6" s="50" t="s">
        <v>357</v>
      </c>
      <c r="I6" s="50" t="s">
        <v>313</v>
      </c>
      <c r="J6" s="50" t="s">
        <v>357</v>
      </c>
      <c r="K6" s="50" t="s">
        <v>135</v>
      </c>
      <c r="L6" s="50" t="s">
        <v>134</v>
      </c>
      <c r="M6" s="50" t="s">
        <v>313</v>
      </c>
      <c r="N6" s="50" t="s">
        <v>357</v>
      </c>
    </row>
    <row r="7" spans="1:16" ht="4.8" hidden="1" x14ac:dyDescent="0.3">
      <c r="A7" s="49">
        <v>1</v>
      </c>
      <c r="B7" s="49">
        <v>2</v>
      </c>
      <c r="C7" s="49"/>
      <c r="D7" s="49"/>
      <c r="E7" s="49">
        <v>3</v>
      </c>
      <c r="F7" s="49">
        <v>4</v>
      </c>
      <c r="G7" s="49">
        <v>3</v>
      </c>
      <c r="H7" s="49">
        <v>4</v>
      </c>
      <c r="I7" s="49">
        <v>5</v>
      </c>
      <c r="J7" s="49">
        <v>6</v>
      </c>
      <c r="K7" s="49"/>
      <c r="L7" s="49"/>
      <c r="M7" s="49">
        <v>7</v>
      </c>
      <c r="N7" s="49">
        <v>8</v>
      </c>
    </row>
    <row r="8" spans="1:16" ht="18" x14ac:dyDescent="0.35">
      <c r="A8" s="46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130">
        <f>G9+G18+G19+G22</f>
        <v>128263.92999999998</v>
      </c>
      <c r="H8" s="130">
        <f>H9+H18+H19+H22</f>
        <v>3570.0969686796197</v>
      </c>
      <c r="I8" s="130">
        <f>I9+I18+I19+I22</f>
        <v>51796.460000000006</v>
      </c>
      <c r="J8" s="130">
        <f>J9+J18+J19+J22+0.01</f>
        <v>5524.97923140276</v>
      </c>
      <c r="K8" s="130">
        <v>952.54</v>
      </c>
      <c r="L8" s="130">
        <v>1405.09</v>
      </c>
      <c r="M8" s="130">
        <f>M9+M18+M19+M22</f>
        <v>4372.07</v>
      </c>
      <c r="N8" s="130">
        <f>N9+N18+N19+N22+0.01</f>
        <v>6361.6130038237388</v>
      </c>
      <c r="O8" s="44">
        <f>G8+I8+M8</f>
        <v>184432.46</v>
      </c>
      <c r="P8" s="44">
        <f>O8/O40*1000</f>
        <v>4669.1762025316448</v>
      </c>
    </row>
    <row r="9" spans="1:16" ht="18" x14ac:dyDescent="0.35">
      <c r="A9" s="46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130">
        <f>G10+G16+G17+G11+G12</f>
        <v>78699.26999999999</v>
      </c>
      <c r="H9" s="130">
        <f>H10+H16+H17+H11+H12</f>
        <v>2161.1580360686603</v>
      </c>
      <c r="I9" s="130">
        <f t="shared" ref="I9:M9" si="0">I10+I16+I17+I11+I12</f>
        <v>38986.020000000004</v>
      </c>
      <c r="J9" s="130">
        <f>J10+J16+J17+J11+J12-0.01</f>
        <v>4116.0395829060699</v>
      </c>
      <c r="K9" s="130">
        <f t="shared" si="0"/>
        <v>800.76</v>
      </c>
      <c r="L9" s="130">
        <f t="shared" si="0"/>
        <v>1181.07</v>
      </c>
      <c r="M9" s="130">
        <f t="shared" si="0"/>
        <v>3435.1</v>
      </c>
      <c r="N9" s="130">
        <f>N10+N16+N17+N11+N12-0.01</f>
        <v>4952.6651839732749</v>
      </c>
      <c r="O9" s="45">
        <f>O10+O16+O17+O11+O12</f>
        <v>121120.39000000001</v>
      </c>
      <c r="P9" s="44">
        <f>O9/O40*1000</f>
        <v>3066.3389873417723</v>
      </c>
    </row>
    <row r="10" spans="1:16" ht="18.75" customHeight="1" x14ac:dyDescent="0.35">
      <c r="A10" s="46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130">
        <f>виробництво!G10</f>
        <v>48719.17</v>
      </c>
      <c r="H10" s="130">
        <f>виробництво!H10</f>
        <v>1320.1857348171518</v>
      </c>
      <c r="I10" s="130">
        <f>виробництво!I10</f>
        <v>31783.16</v>
      </c>
      <c r="J10" s="130">
        <f>виробництво!J10</f>
        <v>3332.2981659504021</v>
      </c>
      <c r="K10" s="130">
        <v>752.76</v>
      </c>
      <c r="L10" s="130">
        <v>1110.27</v>
      </c>
      <c r="M10" s="130">
        <f>виробництво!M10</f>
        <v>2839.75</v>
      </c>
      <c r="N10" s="130">
        <f>виробництво!N10</f>
        <v>4070.6941931738361</v>
      </c>
      <c r="O10" s="44">
        <f t="shared" ref="O10:O39" si="1">G10+I10+M10</f>
        <v>83342.080000000002</v>
      </c>
      <c r="P10" s="44">
        <f>O10/O40*1000</f>
        <v>2109.9260759493668</v>
      </c>
    </row>
    <row r="11" spans="1:16" ht="20.25" customHeight="1" x14ac:dyDescent="0.35">
      <c r="A11" s="48" t="s">
        <v>41</v>
      </c>
      <c r="B11" s="16" t="s">
        <v>365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130">
        <f>виробництво!G11</f>
        <v>5055.92</v>
      </c>
      <c r="H11" s="130">
        <f>виробництво!H11</f>
        <v>137.00570062209053</v>
      </c>
      <c r="I11" s="130">
        <f>виробництво!I11</f>
        <v>760.98</v>
      </c>
      <c r="J11" s="130">
        <f>виробництво!J11</f>
        <v>79.784774651889137</v>
      </c>
      <c r="K11" s="130">
        <f>виробництво!K11</f>
        <v>0</v>
      </c>
      <c r="L11" s="130">
        <f>виробництво!L11</f>
        <v>0</v>
      </c>
      <c r="M11" s="130">
        <f>виробництво!M11</f>
        <v>124.19</v>
      </c>
      <c r="N11" s="130">
        <f>виробництво!N11</f>
        <v>178.02210404093978</v>
      </c>
      <c r="O11" s="44">
        <f t="shared" si="1"/>
        <v>5941.0899999999992</v>
      </c>
      <c r="P11" s="44">
        <f>O11/O40*1000</f>
        <v>150.40734177215188</v>
      </c>
    </row>
    <row r="12" spans="1:16" ht="19.5" customHeight="1" x14ac:dyDescent="0.35">
      <c r="A12" s="48" t="s">
        <v>43</v>
      </c>
      <c r="B12" s="16" t="s">
        <v>139</v>
      </c>
      <c r="C12" s="14">
        <v>2922.32</v>
      </c>
      <c r="D12" s="14">
        <v>65.25</v>
      </c>
      <c r="E12" s="17">
        <v>3494.3465336017216</v>
      </c>
      <c r="F12" s="17">
        <v>101.14761147427335</v>
      </c>
      <c r="G12" s="130">
        <f>виробництво!G12+транспортування!G14+постачання!G14</f>
        <v>17622.86</v>
      </c>
      <c r="H12" s="130">
        <f>виробництво!H12+транспортування!H14+постачання!H14</f>
        <v>498.18077080697174</v>
      </c>
      <c r="I12" s="130">
        <f>виробництво!I12+транспортування!I14+постачання!I14</f>
        <v>4554.79</v>
      </c>
      <c r="J12" s="130">
        <f>виробництво!J12+транспортування!J14+постачання!J14</f>
        <v>498.1810601087148</v>
      </c>
      <c r="K12" s="130">
        <v>44.24</v>
      </c>
      <c r="L12" s="130">
        <v>65.25</v>
      </c>
      <c r="M12" s="130">
        <f>виробництво!M12+транспортування!M14+постачання!M14</f>
        <v>333.14</v>
      </c>
      <c r="N12" s="130">
        <f>виробництво!N12+транспортування!N14+постачання!N14</f>
        <v>498.17909310769215</v>
      </c>
      <c r="O12" s="44">
        <f t="shared" si="1"/>
        <v>22510.79</v>
      </c>
      <c r="P12" s="44">
        <f>O12/O40*1000</f>
        <v>569.89341772151897</v>
      </c>
    </row>
    <row r="13" spans="1:16" ht="18" hidden="1" x14ac:dyDescent="0.35">
      <c r="A13" s="48" t="s">
        <v>43</v>
      </c>
      <c r="B13" s="16" t="s">
        <v>140</v>
      </c>
      <c r="C13" s="14"/>
      <c r="D13" s="14"/>
      <c r="E13" s="17">
        <v>0</v>
      </c>
      <c r="F13" s="17">
        <v>0</v>
      </c>
      <c r="G13" s="130">
        <v>0</v>
      </c>
      <c r="H13" s="130">
        <v>0</v>
      </c>
      <c r="I13" s="130">
        <v>0</v>
      </c>
      <c r="J13" s="130">
        <v>0</v>
      </c>
      <c r="K13" s="130"/>
      <c r="L13" s="130"/>
      <c r="M13" s="130">
        <v>0</v>
      </c>
      <c r="N13" s="130">
        <v>0</v>
      </c>
      <c r="O13" s="44">
        <f t="shared" si="1"/>
        <v>0</v>
      </c>
      <c r="P13" s="44" t="e">
        <f>O13/O43*1000</f>
        <v>#DIV/0!</v>
      </c>
    </row>
    <row r="14" spans="1:16" ht="36" hidden="1" x14ac:dyDescent="0.35">
      <c r="A14" s="48" t="s">
        <v>141</v>
      </c>
      <c r="B14" s="16" t="s">
        <v>142</v>
      </c>
      <c r="C14" s="14"/>
      <c r="D14" s="14"/>
      <c r="E14" s="17">
        <v>0</v>
      </c>
      <c r="F14" s="17">
        <v>0</v>
      </c>
      <c r="G14" s="130">
        <v>0</v>
      </c>
      <c r="H14" s="130">
        <v>0</v>
      </c>
      <c r="I14" s="130">
        <v>0</v>
      </c>
      <c r="J14" s="130">
        <v>0</v>
      </c>
      <c r="K14" s="130"/>
      <c r="L14" s="130"/>
      <c r="M14" s="130">
        <v>0</v>
      </c>
      <c r="N14" s="130">
        <v>0</v>
      </c>
      <c r="O14" s="44">
        <f t="shared" si="1"/>
        <v>0</v>
      </c>
      <c r="P14" s="44" t="e">
        <f>O14/O44*1000</f>
        <v>#DIV/0!</v>
      </c>
    </row>
    <row r="15" spans="1:16" ht="18" hidden="1" x14ac:dyDescent="0.35">
      <c r="A15" s="48" t="s">
        <v>45</v>
      </c>
      <c r="B15" s="16" t="s">
        <v>143</v>
      </c>
      <c r="C15" s="14"/>
      <c r="D15" s="14"/>
      <c r="E15" s="17">
        <v>0</v>
      </c>
      <c r="F15" s="17">
        <v>0</v>
      </c>
      <c r="G15" s="130">
        <v>0</v>
      </c>
      <c r="H15" s="130">
        <v>0</v>
      </c>
      <c r="I15" s="130">
        <v>0</v>
      </c>
      <c r="J15" s="130">
        <v>0</v>
      </c>
      <c r="K15" s="130"/>
      <c r="L15" s="130"/>
      <c r="M15" s="130">
        <v>0</v>
      </c>
      <c r="N15" s="130">
        <v>0</v>
      </c>
      <c r="O15" s="44">
        <f t="shared" si="1"/>
        <v>0</v>
      </c>
      <c r="P15" s="44" t="e">
        <f>O15/O45*1000</f>
        <v>#DIV/0!</v>
      </c>
    </row>
    <row r="16" spans="1:16" ht="18" x14ac:dyDescent="0.35">
      <c r="A16" s="48" t="s">
        <v>45</v>
      </c>
      <c r="B16" s="16" t="s">
        <v>46</v>
      </c>
      <c r="C16" s="14">
        <v>110.79</v>
      </c>
      <c r="D16" s="14">
        <v>2.4700000000000002</v>
      </c>
      <c r="E16" s="17">
        <v>109.42068458420637</v>
      </c>
      <c r="F16" s="17">
        <v>3.1672991745797425</v>
      </c>
      <c r="G16" s="130">
        <f>виробництво!G16+транспортування!G18+постачання!G18</f>
        <v>674.5</v>
      </c>
      <c r="H16" s="130">
        <f>виробництво!H16+транспортування!H18+постачання!H18+0.01</f>
        <v>21.133847611166306</v>
      </c>
      <c r="I16" s="130">
        <f>виробництво!I16+транспортування!I18+постачання!I18</f>
        <v>174.32999999999998</v>
      </c>
      <c r="J16" s="130">
        <f>виробництво!J16+транспортування!J18+постачання!J18+0.01</f>
        <v>21.133822241238573</v>
      </c>
      <c r="K16" s="130">
        <v>1.67</v>
      </c>
      <c r="L16" s="130">
        <v>2.4700000000000002</v>
      </c>
      <c r="M16" s="130">
        <f>виробництво!M16+транспортування!M18+постачання!M18</f>
        <v>12.75</v>
      </c>
      <c r="N16" s="130">
        <f>виробництво!N16+транспортування!N18+постачання!N18</f>
        <v>21.131923533880808</v>
      </c>
      <c r="O16" s="44">
        <f t="shared" si="1"/>
        <v>861.57999999999993</v>
      </c>
      <c r="P16" s="44">
        <f>O16/O40*1000</f>
        <v>21.812151898734175</v>
      </c>
    </row>
    <row r="17" spans="1:16" ht="18" customHeight="1" x14ac:dyDescent="0.35">
      <c r="A17" s="48" t="s">
        <v>47</v>
      </c>
      <c r="B17" s="16" t="s">
        <v>144</v>
      </c>
      <c r="C17" s="14">
        <v>137.78</v>
      </c>
      <c r="D17" s="14">
        <v>3.08</v>
      </c>
      <c r="E17" s="17">
        <v>164.28241521803835</v>
      </c>
      <c r="F17" s="17">
        <v>4.7553308599310604</v>
      </c>
      <c r="G17" s="130">
        <f>виробництво!G17+транспортування!G19+постачання!G19</f>
        <v>6626.82</v>
      </c>
      <c r="H17" s="130">
        <f>виробництво!H17+транспортування!H19+постачання!H19</f>
        <v>184.65198221127977</v>
      </c>
      <c r="I17" s="130">
        <f>виробництво!I17+транспортування!I19+постачання!I19</f>
        <v>1712.7600000000002</v>
      </c>
      <c r="J17" s="130">
        <f>виробництво!J17+транспортування!J19+постачання!J19</f>
        <v>184.65175995382558</v>
      </c>
      <c r="K17" s="130">
        <v>2.09</v>
      </c>
      <c r="L17" s="130">
        <v>3.08</v>
      </c>
      <c r="M17" s="130">
        <f>виробництво!M17+транспортування!M19+постачання!M19</f>
        <v>125.27000000000001</v>
      </c>
      <c r="N17" s="130">
        <f>виробництво!N17+транспортування!N19+постачання!N19</f>
        <v>184.64787011692624</v>
      </c>
      <c r="O17" s="44">
        <f t="shared" si="1"/>
        <v>8464.85</v>
      </c>
      <c r="P17" s="44">
        <f>O17/O40*1000</f>
        <v>214.3</v>
      </c>
    </row>
    <row r="18" spans="1:16" ht="20.25" customHeight="1" x14ac:dyDescent="0.35">
      <c r="A18" s="46" t="s">
        <v>49</v>
      </c>
      <c r="B18" s="16" t="s">
        <v>145</v>
      </c>
      <c r="C18" s="14">
        <v>5240.01</v>
      </c>
      <c r="D18" s="14">
        <v>117</v>
      </c>
      <c r="E18" s="17">
        <v>8034.1019561128678</v>
      </c>
      <c r="F18" s="17">
        <v>232.5557054480235</v>
      </c>
      <c r="G18" s="130">
        <f>виробництво!G18+транспортування!G20+постачання!G20</f>
        <v>14197</v>
      </c>
      <c r="H18" s="130">
        <f>виробництво!H18+транспортування!H20+постачання!H20</f>
        <v>399.5145344094966</v>
      </c>
      <c r="I18" s="130">
        <f>виробництво!I18+транспортування!I20+постачання!I20</f>
        <v>3669.3500000000004</v>
      </c>
      <c r="J18" s="130">
        <f>виробництво!J18+транспортування!J20+постачання!J20</f>
        <v>399.5054496826267</v>
      </c>
      <c r="K18" s="130">
        <v>79.23</v>
      </c>
      <c r="L18" s="130">
        <v>117</v>
      </c>
      <c r="M18" s="130">
        <f>виробництво!M18+транспортування!M20+постачання!M20</f>
        <v>268.38</v>
      </c>
      <c r="N18" s="130">
        <f>виробництво!N18+транспортування!N20+постачання!N20-0.01</f>
        <v>399.50614009007222</v>
      </c>
      <c r="O18" s="44">
        <f t="shared" si="1"/>
        <v>18134.73</v>
      </c>
      <c r="P18" s="44">
        <f>O18/O40*1000</f>
        <v>459.1070886075949</v>
      </c>
    </row>
    <row r="19" spans="1:16" ht="18" x14ac:dyDescent="0.35">
      <c r="A19" s="46" t="s">
        <v>51</v>
      </c>
      <c r="B19" s="16" t="s">
        <v>52</v>
      </c>
      <c r="C19" s="14">
        <v>1142.56</v>
      </c>
      <c r="D19" s="14">
        <v>25.51</v>
      </c>
      <c r="E19" s="17">
        <v>4176.7628483106555</v>
      </c>
      <c r="F19" s="17">
        <v>120.90088425364449</v>
      </c>
      <c r="G19" s="130">
        <f>G20+G21</f>
        <v>8710.4599999999991</v>
      </c>
      <c r="H19" s="130">
        <f>H20+H21</f>
        <v>246.66611013180673</v>
      </c>
      <c r="I19" s="130">
        <f>I20+I21</f>
        <v>2251.29</v>
      </c>
      <c r="J19" s="130">
        <f>J20+J21</f>
        <v>246.66518086567032</v>
      </c>
      <c r="K19" s="130">
        <v>17.29</v>
      </c>
      <c r="L19" s="130">
        <v>25.51</v>
      </c>
      <c r="M19" s="130">
        <f>M20+M21</f>
        <v>164.66</v>
      </c>
      <c r="N19" s="130">
        <f>N20+N21+0.01</f>
        <v>246.67434340826821</v>
      </c>
      <c r="O19" s="44">
        <f t="shared" si="1"/>
        <v>11126.41</v>
      </c>
      <c r="P19" s="44">
        <f>O19/O40*1000</f>
        <v>281.68126582278478</v>
      </c>
    </row>
    <row r="20" spans="1:16" ht="18" x14ac:dyDescent="0.35">
      <c r="A20" s="46" t="s">
        <v>53</v>
      </c>
      <c r="B20" s="16" t="s">
        <v>56</v>
      </c>
      <c r="C20" s="14">
        <v>806.66</v>
      </c>
      <c r="D20" s="14">
        <v>18.010000000000002</v>
      </c>
      <c r="E20" s="17">
        <v>2947.4758968707151</v>
      </c>
      <c r="F20" s="17">
        <v>85.317853847532788</v>
      </c>
      <c r="G20" s="130">
        <f>виробництво!G20+транспортування!G22+постачання!G22</f>
        <v>7040.57</v>
      </c>
      <c r="H20" s="130">
        <f>виробництво!H20+транспортування!H22+постачання!H22</f>
        <v>201.02617023788602</v>
      </c>
      <c r="I20" s="130">
        <f>виробництво!I20+транспортування!I22+постачання!I22</f>
        <v>1819.7</v>
      </c>
      <c r="J20" s="130">
        <f>виробництво!J20+транспортування!J22+постачання!J22</f>
        <v>201.02630643292653</v>
      </c>
      <c r="K20" s="130">
        <v>12.21</v>
      </c>
      <c r="L20" s="130">
        <v>18.010000000000002</v>
      </c>
      <c r="M20" s="130">
        <f>виробництво!M20+транспортування!M22+постачання!M22</f>
        <v>133.1</v>
      </c>
      <c r="N20" s="130">
        <f>виробництво!N20+транспортування!N22+постачання!N22</f>
        <v>201.02605190302205</v>
      </c>
      <c r="O20" s="44">
        <f t="shared" si="1"/>
        <v>8993.3700000000008</v>
      </c>
      <c r="P20" s="44">
        <f>O20/O40*1000</f>
        <v>227.68025316455697</v>
      </c>
    </row>
    <row r="21" spans="1:16" ht="18" x14ac:dyDescent="0.35">
      <c r="A21" s="46" t="s">
        <v>55</v>
      </c>
      <c r="B21" s="16" t="s">
        <v>311</v>
      </c>
      <c r="C21" s="14">
        <v>335.9</v>
      </c>
      <c r="D21" s="14">
        <v>7.5</v>
      </c>
      <c r="E21" s="17">
        <v>1229.286951439941</v>
      </c>
      <c r="F21" s="17">
        <v>35.583030406111703</v>
      </c>
      <c r="G21" s="130">
        <f>виробництво!G21+транспортування!G23+постачання!G23</f>
        <v>1669.8899999999999</v>
      </c>
      <c r="H21" s="130">
        <f>виробництво!H21+транспортування!H23+постачання!H23</f>
        <v>45.639939893920705</v>
      </c>
      <c r="I21" s="130">
        <f>виробництво!I21+транспортування!I23+постачання!I23</f>
        <v>431.59</v>
      </c>
      <c r="J21" s="130">
        <f>виробництво!J21+транспортування!J23+постачання!J23</f>
        <v>45.638874432743783</v>
      </c>
      <c r="K21" s="130">
        <v>5.08</v>
      </c>
      <c r="L21" s="130">
        <v>7.5</v>
      </c>
      <c r="M21" s="130">
        <f>виробництво!M21+транспортування!M23+постачання!M23</f>
        <v>31.56</v>
      </c>
      <c r="N21" s="130">
        <f>виробництво!N21+транспортування!N23+постачання!N23</f>
        <v>45.638291505246187</v>
      </c>
      <c r="O21" s="44">
        <f t="shared" si="1"/>
        <v>2133.04</v>
      </c>
      <c r="P21" s="44">
        <f>O21/O40*1000</f>
        <v>54.00101265822785</v>
      </c>
    </row>
    <row r="22" spans="1:16" ht="18" x14ac:dyDescent="0.35">
      <c r="A22" s="46" t="s">
        <v>59</v>
      </c>
      <c r="B22" s="16" t="s">
        <v>60</v>
      </c>
      <c r="C22" s="14">
        <v>3650.51</v>
      </c>
      <c r="D22" s="14">
        <v>81.510000000000005</v>
      </c>
      <c r="E22" s="17">
        <v>8406.6471456333948</v>
      </c>
      <c r="F22" s="17">
        <v>243.33942587296713</v>
      </c>
      <c r="G22" s="130">
        <f>G23+G24</f>
        <v>26657.199999999997</v>
      </c>
      <c r="H22" s="130">
        <f>H23+H24</f>
        <v>762.7582880696558</v>
      </c>
      <c r="I22" s="130">
        <f>I23+I24</f>
        <v>6889.8</v>
      </c>
      <c r="J22" s="130">
        <f>J23+J24</f>
        <v>762.75901794839206</v>
      </c>
      <c r="K22" s="130">
        <v>55.26</v>
      </c>
      <c r="L22" s="130">
        <v>81.510000000000005</v>
      </c>
      <c r="M22" s="130">
        <f>M23+M24</f>
        <v>503.92999999999995</v>
      </c>
      <c r="N22" s="130">
        <f>N23+N24-0.01</f>
        <v>762.75733635212362</v>
      </c>
      <c r="O22" s="44">
        <f t="shared" si="1"/>
        <v>34050.93</v>
      </c>
      <c r="P22" s="44">
        <f>O22/O40*1000</f>
        <v>862.04886075949366</v>
      </c>
    </row>
    <row r="23" spans="1:16" ht="20.25" customHeight="1" x14ac:dyDescent="0.35">
      <c r="A23" s="46" t="s">
        <v>61</v>
      </c>
      <c r="B23" s="16" t="s">
        <v>148</v>
      </c>
      <c r="C23" s="14">
        <v>3321.11</v>
      </c>
      <c r="D23" s="14">
        <v>74.150000000000006</v>
      </c>
      <c r="E23" s="17">
        <v>7303.0470979519923</v>
      </c>
      <c r="F23" s="17">
        <v>211.39453781665532</v>
      </c>
      <c r="G23" s="130">
        <f>виробництво!G23+транспортування!G25+постачання!G25</f>
        <v>21501.769999999997</v>
      </c>
      <c r="H23" s="130">
        <f>виробництво!H23+транспортування!H25+постачання!H25</f>
        <v>615.24676736517051</v>
      </c>
      <c r="I23" s="130">
        <f>виробництво!I23+транспортування!I25+постачання!I25</f>
        <v>5557.33</v>
      </c>
      <c r="J23" s="130">
        <f>виробництво!J23+транспортування!J25+постачання!J25</f>
        <v>615.24720115994899</v>
      </c>
      <c r="K23" s="130">
        <v>50.27</v>
      </c>
      <c r="L23" s="130">
        <v>74.150000000000006</v>
      </c>
      <c r="M23" s="130">
        <f>виробництво!M23+транспортування!M25+постачання!M25</f>
        <v>406.46999999999997</v>
      </c>
      <c r="N23" s="130">
        <f>виробництво!N23+транспортування!N25+постачання!N25</f>
        <v>615.2525143771187</v>
      </c>
      <c r="O23" s="44">
        <f t="shared" si="1"/>
        <v>27465.57</v>
      </c>
      <c r="P23" s="44">
        <f>O23/O40*1000</f>
        <v>695.33088607594937</v>
      </c>
    </row>
    <row r="24" spans="1:16" ht="18" x14ac:dyDescent="0.35">
      <c r="A24" s="46" t="s">
        <v>63</v>
      </c>
      <c r="B24" s="16" t="s">
        <v>65</v>
      </c>
      <c r="C24" s="14">
        <v>329.4</v>
      </c>
      <c r="D24" s="14">
        <v>7.36</v>
      </c>
      <c r="E24" s="17">
        <v>1103.6000476814036</v>
      </c>
      <c r="F24" s="17">
        <v>31.944888056311797</v>
      </c>
      <c r="G24" s="130">
        <f>виробництво!G24+транспортування!G26+постачання!G26</f>
        <v>5155.43</v>
      </c>
      <c r="H24" s="130">
        <f>виробництво!H24+транспортування!H26+постачання!H26</f>
        <v>147.51152070448532</v>
      </c>
      <c r="I24" s="130">
        <f>виробництво!I24+транспортування!I26+постачання!I26</f>
        <v>1332.47</v>
      </c>
      <c r="J24" s="130">
        <f>виробництво!J24+транспортування!J26+постачання!J26</f>
        <v>147.51181678844304</v>
      </c>
      <c r="K24" s="130">
        <v>4.99</v>
      </c>
      <c r="L24" s="130">
        <v>7.36</v>
      </c>
      <c r="M24" s="130">
        <f>виробництво!M24+транспортування!M26+постачання!M26</f>
        <v>97.460000000000008</v>
      </c>
      <c r="N24" s="130">
        <f>виробництво!N24+транспортування!N26+постачання!N26</f>
        <v>147.51482197500493</v>
      </c>
      <c r="O24" s="44">
        <f t="shared" si="1"/>
        <v>6585.3600000000006</v>
      </c>
      <c r="P24" s="44">
        <f>O24/O40*1000</f>
        <v>166.71797468354433</v>
      </c>
    </row>
    <row r="25" spans="1:16" ht="18" x14ac:dyDescent="0.35">
      <c r="A25" s="46" t="s">
        <v>149</v>
      </c>
      <c r="B25" s="16" t="s">
        <v>66</v>
      </c>
      <c r="C25" s="14">
        <v>1821.53</v>
      </c>
      <c r="D25" s="14">
        <v>40.67</v>
      </c>
      <c r="E25" s="17">
        <v>4089.9807236778006</v>
      </c>
      <c r="F25" s="17">
        <v>118.38888249856139</v>
      </c>
      <c r="G25" s="130">
        <f>G26+G27</f>
        <v>10893.02</v>
      </c>
      <c r="H25" s="130">
        <f>H26+H27</f>
        <v>311.68949055849049</v>
      </c>
      <c r="I25" s="130">
        <f>I26+I27</f>
        <v>2815.4</v>
      </c>
      <c r="J25" s="130">
        <f>J26+J27</f>
        <v>311.68960266129977</v>
      </c>
      <c r="K25" s="130">
        <v>27.57</v>
      </c>
      <c r="L25" s="130">
        <v>40.67</v>
      </c>
      <c r="M25" s="130">
        <f>M26+M27</f>
        <v>205.92000000000002</v>
      </c>
      <c r="N25" s="130">
        <f>N26+N27-0.01</f>
        <v>311.68771022406753</v>
      </c>
      <c r="O25" s="44">
        <f t="shared" si="1"/>
        <v>13914.34</v>
      </c>
      <c r="P25" s="44">
        <f>O25/O40*1000</f>
        <v>352.26177215189875</v>
      </c>
    </row>
    <row r="26" spans="1:16" ht="16.5" customHeight="1" x14ac:dyDescent="0.35">
      <c r="A26" s="46" t="s">
        <v>67</v>
      </c>
      <c r="B26" s="16" t="s">
        <v>148</v>
      </c>
      <c r="C26" s="14">
        <v>1705.92</v>
      </c>
      <c r="D26" s="14">
        <v>38.090000000000003</v>
      </c>
      <c r="E26" s="17">
        <v>3425.2107122297944</v>
      </c>
      <c r="F26" s="17">
        <v>99.146400909769127</v>
      </c>
      <c r="G26" s="130">
        <f>виробництво!G26+транспортування!G28+постачання!G28</f>
        <v>8842.02</v>
      </c>
      <c r="H26" s="130">
        <f>виробництво!H26+транспортування!H28+постачання!H28+0.01</f>
        <v>253.01325840614297</v>
      </c>
      <c r="I26" s="130">
        <f>виробництво!I26+транспортування!I28+постачання!I28</f>
        <v>2285.3000000000002</v>
      </c>
      <c r="J26" s="130">
        <f>виробництво!J26+транспортування!J28+постачання!J28+0.01</f>
        <v>253.01328950891241</v>
      </c>
      <c r="K26" s="130">
        <v>25.82</v>
      </c>
      <c r="L26" s="130">
        <v>38.090000000000003</v>
      </c>
      <c r="M26" s="130">
        <f>виробництво!M26+транспортування!M28+постачання!M28</f>
        <v>167.15</v>
      </c>
      <c r="N26" s="130">
        <f>виробництво!N26+транспортування!N28+постачання!N28+0.01</f>
        <v>253.01485872593327</v>
      </c>
      <c r="O26" s="44">
        <f t="shared" si="1"/>
        <v>11294.47</v>
      </c>
      <c r="P26" s="44">
        <f>O26/O40*1000</f>
        <v>285.9359493670886</v>
      </c>
    </row>
    <row r="27" spans="1:16" ht="18" x14ac:dyDescent="0.35">
      <c r="A27" s="46" t="s">
        <v>68</v>
      </c>
      <c r="B27" s="16" t="s">
        <v>65</v>
      </c>
      <c r="C27" s="14">
        <v>115.61</v>
      </c>
      <c r="D27" s="14">
        <v>2.58</v>
      </c>
      <c r="E27" s="17">
        <v>664.7700114480067</v>
      </c>
      <c r="F27" s="17">
        <v>19.242481588792273</v>
      </c>
      <c r="G27" s="130">
        <f>виробництво!G27+транспортування!G29+постачання!G29</f>
        <v>2051.0000000000005</v>
      </c>
      <c r="H27" s="130">
        <f>виробництво!H27+транспортування!H29+постачання!H29</f>
        <v>58.676232152347517</v>
      </c>
      <c r="I27" s="130">
        <f>виробництво!I27+транспортування!I29+постачання!I29</f>
        <v>530.1</v>
      </c>
      <c r="J27" s="130">
        <f>виробництво!J27+транспортування!J29+постачання!J29</f>
        <v>58.676313152387365</v>
      </c>
      <c r="K27" s="130">
        <v>1.75</v>
      </c>
      <c r="L27" s="130">
        <v>2.58</v>
      </c>
      <c r="M27" s="130">
        <f>виробництво!M27+транспортування!M29+постачання!M29</f>
        <v>38.769999999999996</v>
      </c>
      <c r="N27" s="130">
        <f>виробництво!N27+транспортування!N29+постачання!N29</f>
        <v>58.682851498134269</v>
      </c>
      <c r="O27" s="44">
        <f t="shared" si="1"/>
        <v>2619.8700000000003</v>
      </c>
      <c r="P27" s="44">
        <f>O27/O40*1000</f>
        <v>66.325822784810143</v>
      </c>
    </row>
    <row r="28" spans="1:16" ht="18" x14ac:dyDescent="0.35">
      <c r="A28" s="46" t="s">
        <v>151</v>
      </c>
      <c r="B28" s="16" t="s">
        <v>71</v>
      </c>
      <c r="C28" s="14">
        <v>47.03</v>
      </c>
      <c r="D28" s="14">
        <v>1.05</v>
      </c>
      <c r="E28" s="17">
        <v>0</v>
      </c>
      <c r="F28" s="17">
        <v>0</v>
      </c>
      <c r="G28" s="130">
        <f>постачання!G30</f>
        <v>1217.0999999999999</v>
      </c>
      <c r="H28" s="130">
        <f>постачання!H30</f>
        <v>38.668784749801425</v>
      </c>
      <c r="I28" s="130">
        <f>постачання!I30</f>
        <v>314.57</v>
      </c>
      <c r="J28" s="130">
        <f>постачання!J30</f>
        <v>38.668715427166568</v>
      </c>
      <c r="K28" s="130">
        <v>0.71</v>
      </c>
      <c r="L28" s="130">
        <v>1.05</v>
      </c>
      <c r="M28" s="130">
        <f>постачання!M30</f>
        <v>23.01</v>
      </c>
      <c r="N28" s="130">
        <f>постачання!N30</f>
        <v>38.67226890756303</v>
      </c>
      <c r="O28" s="44">
        <f t="shared" si="1"/>
        <v>1554.6799999999998</v>
      </c>
      <c r="P28" s="44">
        <f>O28/O40*1000</f>
        <v>39.358987341772149</v>
      </c>
    </row>
    <row r="29" spans="1:16" ht="15" customHeight="1" x14ac:dyDescent="0.35">
      <c r="A29" s="46" t="s">
        <v>72</v>
      </c>
      <c r="B29" s="16" t="s">
        <v>148</v>
      </c>
      <c r="C29" s="14">
        <v>44.79</v>
      </c>
      <c r="D29" s="14">
        <v>1</v>
      </c>
      <c r="E29" s="17">
        <v>0</v>
      </c>
      <c r="F29" s="17">
        <v>0</v>
      </c>
      <c r="G29" s="130">
        <f>G28</f>
        <v>1217.0999999999999</v>
      </c>
      <c r="H29" s="130">
        <f>H28</f>
        <v>38.668784749801425</v>
      </c>
      <c r="I29" s="130">
        <f>I28</f>
        <v>314.57</v>
      </c>
      <c r="J29" s="130">
        <f>J28</f>
        <v>38.668715427166568</v>
      </c>
      <c r="K29" s="130">
        <v>0.68</v>
      </c>
      <c r="L29" s="130">
        <v>1</v>
      </c>
      <c r="M29" s="130">
        <f>M28</f>
        <v>23.01</v>
      </c>
      <c r="N29" s="130">
        <f>постачання!N30</f>
        <v>38.67226890756303</v>
      </c>
      <c r="O29" s="44">
        <f t="shared" si="1"/>
        <v>1554.6799999999998</v>
      </c>
      <c r="P29" s="44">
        <f>O29/O40*1000</f>
        <v>39.358987341772149</v>
      </c>
    </row>
    <row r="30" spans="1:16" ht="18" x14ac:dyDescent="0.35">
      <c r="A30" s="46" t="s">
        <v>73</v>
      </c>
      <c r="B30" s="16" t="s">
        <v>65</v>
      </c>
      <c r="C30" s="14">
        <v>2.2400000000000002</v>
      </c>
      <c r="D30" s="14">
        <v>0.05</v>
      </c>
      <c r="E30" s="17">
        <v>0</v>
      </c>
      <c r="F30" s="17">
        <v>0</v>
      </c>
      <c r="G30" s="130">
        <f>виробництво!G30+транспортування!G32+постачання!G32</f>
        <v>0</v>
      </c>
      <c r="H30" s="130">
        <f>транспортування!H32+постачання!H32</f>
        <v>0</v>
      </c>
      <c r="I30" s="130">
        <f>транспортування!I32+постачання!I32</f>
        <v>0</v>
      </c>
      <c r="J30" s="130">
        <f>транспортування!J32+постачання!J32</f>
        <v>0</v>
      </c>
      <c r="K30" s="130">
        <v>0.03</v>
      </c>
      <c r="L30" s="130">
        <v>0.05</v>
      </c>
      <c r="M30" s="130">
        <f>транспортування!M32+постачання!M32</f>
        <v>0</v>
      </c>
      <c r="N30" s="130">
        <v>0</v>
      </c>
      <c r="O30" s="44">
        <f t="shared" si="1"/>
        <v>0</v>
      </c>
      <c r="P30" s="44">
        <f>O30/O40*1000</f>
        <v>0</v>
      </c>
    </row>
    <row r="31" spans="1:16" ht="18" x14ac:dyDescent="0.35">
      <c r="A31" s="46" t="s">
        <v>153</v>
      </c>
      <c r="B31" s="16" t="s">
        <v>154</v>
      </c>
      <c r="C31" s="14"/>
      <c r="D31" s="14"/>
      <c r="E31" s="17">
        <v>0</v>
      </c>
      <c r="F31" s="17">
        <v>0</v>
      </c>
      <c r="G31" s="130">
        <v>0</v>
      </c>
      <c r="H31" s="130">
        <v>0</v>
      </c>
      <c r="I31" s="130">
        <v>0</v>
      </c>
      <c r="J31" s="130">
        <v>0</v>
      </c>
      <c r="K31" s="130"/>
      <c r="L31" s="130"/>
      <c r="M31" s="130">
        <v>0</v>
      </c>
      <c r="N31" s="130">
        <v>0</v>
      </c>
      <c r="O31" s="44">
        <f t="shared" si="1"/>
        <v>0</v>
      </c>
      <c r="P31" s="44">
        <f>O31/O40*1000</f>
        <v>0</v>
      </c>
    </row>
    <row r="32" spans="1:16" ht="18" x14ac:dyDescent="0.35">
      <c r="A32" s="46" t="s">
        <v>155</v>
      </c>
      <c r="B32" s="16" t="s">
        <v>156</v>
      </c>
      <c r="C32" s="14">
        <v>64797.58</v>
      </c>
      <c r="D32" s="14">
        <v>1446.81</v>
      </c>
      <c r="E32" s="17">
        <v>78326.247044498319</v>
      </c>
      <c r="F32" s="17">
        <v>2267.2373011983182</v>
      </c>
      <c r="G32" s="130">
        <f>G8+G25+G28</f>
        <v>140374.04999999999</v>
      </c>
      <c r="H32" s="130">
        <f>виробництво!H32+транспортування!H34+постачання!H34-0.01</f>
        <v>3920.4552439879117</v>
      </c>
      <c r="I32" s="130">
        <f>I8+I25+I28</f>
        <v>54926.430000000008</v>
      </c>
      <c r="J32" s="130">
        <f>J8+J25+J28</f>
        <v>5875.3375494912261</v>
      </c>
      <c r="K32" s="130">
        <v>980.82</v>
      </c>
      <c r="L32" s="130">
        <v>1446.81</v>
      </c>
      <c r="M32" s="130">
        <f>M8+M25+M28</f>
        <v>4601</v>
      </c>
      <c r="N32" s="130">
        <f>N8+N25+N28</f>
        <v>6711.9729829553698</v>
      </c>
      <c r="O32" s="44">
        <f t="shared" si="1"/>
        <v>199901.47999999998</v>
      </c>
      <c r="P32" s="44">
        <f>O32/O40*1000</f>
        <v>5060.7969620253161</v>
      </c>
    </row>
    <row r="33" spans="1:16" ht="18" x14ac:dyDescent="0.35">
      <c r="A33" s="46" t="s">
        <v>157</v>
      </c>
      <c r="B33" s="16" t="s">
        <v>158</v>
      </c>
      <c r="C33" s="14"/>
      <c r="D33" s="14"/>
      <c r="E33" s="17">
        <v>0</v>
      </c>
      <c r="F33" s="17">
        <v>0</v>
      </c>
      <c r="G33" s="130">
        <v>0</v>
      </c>
      <c r="H33" s="130">
        <v>0</v>
      </c>
      <c r="I33" s="130">
        <v>0</v>
      </c>
      <c r="J33" s="130">
        <v>0</v>
      </c>
      <c r="K33" s="130"/>
      <c r="L33" s="130"/>
      <c r="M33" s="130">
        <v>0</v>
      </c>
      <c r="N33" s="130">
        <v>0</v>
      </c>
      <c r="O33" s="44">
        <f t="shared" si="1"/>
        <v>0</v>
      </c>
      <c r="P33" s="44">
        <f>O33/O40*1000</f>
        <v>0</v>
      </c>
    </row>
    <row r="34" spans="1:16" ht="18" x14ac:dyDescent="0.35">
      <c r="A34" s="46" t="s">
        <v>159</v>
      </c>
      <c r="B34" s="16" t="s">
        <v>362</v>
      </c>
      <c r="C34" s="14"/>
      <c r="D34" s="14"/>
      <c r="E34" s="17">
        <v>0</v>
      </c>
      <c r="F34" s="17">
        <v>0</v>
      </c>
      <c r="G34" s="130">
        <f>G35+G36+G37+G38</f>
        <v>4493.8927999999996</v>
      </c>
      <c r="H34" s="130">
        <f>H35+H37-0.01</f>
        <v>130.54584693194607</v>
      </c>
      <c r="I34" s="130">
        <f t="shared" ref="I34" si="2">I35+I36+I37+I38</f>
        <v>1584.2797999999998</v>
      </c>
      <c r="J34" s="130">
        <f>J35+J37+0.01</f>
        <v>174.8835891297332</v>
      </c>
      <c r="K34" s="130">
        <f t="shared" ref="K34" si="3">K35+K36+K37+K38</f>
        <v>2291.8810000000003</v>
      </c>
      <c r="L34" s="130">
        <f t="shared" ref="L34" si="4">L35+L37</f>
        <v>3373.2562619469022</v>
      </c>
      <c r="M34" s="130">
        <f t="shared" ref="M34" si="5">M35+M36+M37+M38</f>
        <v>129.10559999999998</v>
      </c>
      <c r="N34" s="130">
        <f>N35+N37</f>
        <v>193.84251480038867</v>
      </c>
      <c r="O34" s="44">
        <f t="shared" si="1"/>
        <v>6207.2781999999997</v>
      </c>
      <c r="P34" s="44">
        <f>O34/O40*1000</f>
        <v>157.1462835443038</v>
      </c>
    </row>
    <row r="35" spans="1:16" ht="18" x14ac:dyDescent="0.35">
      <c r="A35" s="46" t="s">
        <v>79</v>
      </c>
      <c r="B35" s="16" t="s">
        <v>80</v>
      </c>
      <c r="C35" s="14"/>
      <c r="D35" s="14"/>
      <c r="E35" s="17">
        <v>0</v>
      </c>
      <c r="F35" s="17">
        <v>0</v>
      </c>
      <c r="G35" s="130">
        <f>виробництво!G35+транспортування!G37</f>
        <v>685.51279999999997</v>
      </c>
      <c r="H35" s="130">
        <f>(H37+H38)*0.18+0.01</f>
        <v>19.923773260805334</v>
      </c>
      <c r="I35" s="130">
        <f>виробництво!I35+транспортування!I37</f>
        <v>241.66979999999995</v>
      </c>
      <c r="J35" s="130">
        <f>(J37+J38)*0.18</f>
        <v>26.675632240128792</v>
      </c>
      <c r="K35" s="130">
        <f>виробництво!K35+транспортування!K37</f>
        <v>351.99099999999999</v>
      </c>
      <c r="L35" s="130">
        <f t="shared" ref="L35" si="6">(L37+L38)*0.18</f>
        <v>515.01449203539812</v>
      </c>
      <c r="M35" s="130">
        <f>виробництво!M35+транспортування!M37-0.01</f>
        <v>19.685599999999997</v>
      </c>
      <c r="N35" s="130">
        <f>(N37+N38)*0.18</f>
        <v>29.569197172940644</v>
      </c>
      <c r="O35" s="44">
        <f t="shared" si="1"/>
        <v>946.86819999999989</v>
      </c>
      <c r="P35" s="44">
        <f>O35/O40*1000</f>
        <v>23.971346835443036</v>
      </c>
    </row>
    <row r="36" spans="1:16" ht="18" x14ac:dyDescent="0.35">
      <c r="A36" s="46" t="s">
        <v>81</v>
      </c>
      <c r="B36" s="16" t="s">
        <v>161</v>
      </c>
      <c r="C36" s="14"/>
      <c r="D36" s="14"/>
      <c r="E36" s="17">
        <v>0</v>
      </c>
      <c r="F36" s="17">
        <v>0</v>
      </c>
      <c r="G36" s="130">
        <f>виробництво!G36+транспортування!G38</f>
        <v>0</v>
      </c>
      <c r="H36" s="130">
        <v>0</v>
      </c>
      <c r="I36" s="130">
        <f>виробництво!I36+транспортування!I38</f>
        <v>0</v>
      </c>
      <c r="J36" s="130">
        <v>0</v>
      </c>
      <c r="K36" s="130">
        <f>виробництво!K36+транспортування!K38</f>
        <v>0</v>
      </c>
      <c r="L36" s="130">
        <v>2</v>
      </c>
      <c r="M36" s="130">
        <f>виробництво!M36+транспортування!M38</f>
        <v>0</v>
      </c>
      <c r="N36" s="130">
        <v>0</v>
      </c>
      <c r="O36" s="44">
        <f t="shared" si="1"/>
        <v>0</v>
      </c>
      <c r="P36" s="44">
        <f>O36/O40*1000</f>
        <v>0</v>
      </c>
    </row>
    <row r="37" spans="1:16" ht="18" x14ac:dyDescent="0.35">
      <c r="A37" s="46" t="s">
        <v>83</v>
      </c>
      <c r="B37" s="16" t="s">
        <v>162</v>
      </c>
      <c r="C37" s="14"/>
      <c r="D37" s="14"/>
      <c r="E37" s="17">
        <v>0</v>
      </c>
      <c r="F37" s="17">
        <v>0</v>
      </c>
      <c r="G37" s="130">
        <f>виробництво!G37+транспортування!G39</f>
        <v>3808.38</v>
      </c>
      <c r="H37" s="130">
        <f>виробництво!H37+транспортування!H39</f>
        <v>110.63207367114073</v>
      </c>
      <c r="I37" s="130">
        <f>виробництво!I37+транспортування!I39</f>
        <v>1342.61</v>
      </c>
      <c r="J37" s="130">
        <f>виробництво!J37+транспортування!J39</f>
        <v>148.1979568896044</v>
      </c>
      <c r="K37" s="130">
        <f>виробництво!K37+транспортування!K39</f>
        <v>1937.89</v>
      </c>
      <c r="L37" s="130">
        <f>виробництво!L37+транспортування!L39</f>
        <v>2858.241769911504</v>
      </c>
      <c r="M37" s="130">
        <f>виробництво!M37+транспортування!M39</f>
        <v>109.41999999999999</v>
      </c>
      <c r="N37" s="130">
        <f>виробництво!N37+транспортування!N39+0.01</f>
        <v>164.27331762744802</v>
      </c>
      <c r="O37" s="44">
        <f t="shared" si="1"/>
        <v>5260.41</v>
      </c>
      <c r="P37" s="44">
        <f>O37/O40*1000</f>
        <v>133.17493670886077</v>
      </c>
    </row>
    <row r="38" spans="1:16" ht="18" x14ac:dyDescent="0.35">
      <c r="A38" s="46" t="s">
        <v>85</v>
      </c>
      <c r="B38" s="16" t="s">
        <v>303</v>
      </c>
      <c r="C38" s="14"/>
      <c r="D38" s="14"/>
      <c r="E38" s="17">
        <v>0</v>
      </c>
      <c r="F38" s="17">
        <v>0</v>
      </c>
      <c r="G38" s="130">
        <v>0</v>
      </c>
      <c r="H38" s="130">
        <f>G38/G40*1000</f>
        <v>0</v>
      </c>
      <c r="I38" s="130">
        <v>0</v>
      </c>
      <c r="J38" s="130">
        <f t="shared" ref="J38" si="7">I38/I40*1000</f>
        <v>0</v>
      </c>
      <c r="K38" s="130">
        <v>2</v>
      </c>
      <c r="L38" s="130">
        <f t="shared" ref="L38" si="8">K38/K40*1000</f>
        <v>2.9498525073746311</v>
      </c>
      <c r="M38" s="130">
        <v>0</v>
      </c>
      <c r="N38" s="130">
        <f t="shared" ref="N38" si="9">M38/M40*1000</f>
        <v>0</v>
      </c>
      <c r="O38" s="44">
        <f t="shared" si="1"/>
        <v>0</v>
      </c>
      <c r="P38" s="44">
        <f>O38/O40*1000</f>
        <v>0</v>
      </c>
    </row>
    <row r="39" spans="1:16" ht="18" x14ac:dyDescent="0.35">
      <c r="A39" s="46" t="s">
        <v>163</v>
      </c>
      <c r="B39" s="16" t="s">
        <v>164</v>
      </c>
      <c r="C39" s="14">
        <v>64797.58</v>
      </c>
      <c r="D39" s="14">
        <v>1446.81</v>
      </c>
      <c r="E39" s="17">
        <v>78326.247044498319</v>
      </c>
      <c r="F39" s="17">
        <v>2267.2273011983179</v>
      </c>
      <c r="G39" s="130">
        <f>G32+G34</f>
        <v>144867.94279999999</v>
      </c>
      <c r="H39" s="130">
        <f>виробництво!H39+транспортування!H41+постачання!H41</f>
        <v>4051.011230713345</v>
      </c>
      <c r="I39" s="130">
        <f>I32+I34</f>
        <v>56510.709800000004</v>
      </c>
      <c r="J39" s="130">
        <f>J32+J34</f>
        <v>6050.2211386209592</v>
      </c>
      <c r="K39" s="130">
        <v>1078.9100000000001</v>
      </c>
      <c r="L39" s="130">
        <v>1591.49</v>
      </c>
      <c r="M39" s="130">
        <f>M32+M34</f>
        <v>4730.1055999999999</v>
      </c>
      <c r="N39" s="130">
        <f>N32+N34-0.01</f>
        <v>6905.8054977557586</v>
      </c>
      <c r="O39" s="44">
        <f t="shared" si="1"/>
        <v>206108.75820000001</v>
      </c>
      <c r="P39" s="44">
        <f>O39/O40*1000</f>
        <v>5217.9432455696206</v>
      </c>
    </row>
    <row r="40" spans="1:16" ht="15.75" customHeight="1" x14ac:dyDescent="0.35">
      <c r="A40" s="46">
        <v>9</v>
      </c>
      <c r="B40" s="16" t="s">
        <v>360</v>
      </c>
      <c r="C40" s="14">
        <v>44786.45</v>
      </c>
      <c r="D40" s="14"/>
      <c r="E40" s="17">
        <v>34547</v>
      </c>
      <c r="F40" s="17">
        <v>0</v>
      </c>
      <c r="G40" s="130">
        <v>31247</v>
      </c>
      <c r="H40" s="132" t="s">
        <v>35</v>
      </c>
      <c r="I40" s="130">
        <v>7661</v>
      </c>
      <c r="J40" s="132" t="s">
        <v>35</v>
      </c>
      <c r="K40" s="130">
        <v>678</v>
      </c>
      <c r="L40" s="130"/>
      <c r="M40" s="130">
        <v>592</v>
      </c>
      <c r="N40" s="132" t="s">
        <v>35</v>
      </c>
      <c r="O40" s="44">
        <f>G40+I40+M40</f>
        <v>39500</v>
      </c>
      <c r="P40" s="44"/>
    </row>
    <row r="41" spans="1:16" ht="15.75" customHeight="1" x14ac:dyDescent="0.35">
      <c r="A41" s="46">
        <v>10</v>
      </c>
      <c r="B41" s="16" t="s">
        <v>364</v>
      </c>
      <c r="C41" s="14"/>
      <c r="D41" s="14"/>
      <c r="E41" s="17"/>
      <c r="F41" s="17"/>
      <c r="G41" s="130">
        <v>36902.99</v>
      </c>
      <c r="H41" s="132"/>
      <c r="I41" s="130">
        <v>9537.91</v>
      </c>
      <c r="J41" s="132"/>
      <c r="K41" s="130"/>
      <c r="L41" s="130"/>
      <c r="M41" s="130">
        <v>697.61</v>
      </c>
      <c r="N41" s="132"/>
      <c r="O41" s="44"/>
      <c r="P41" s="44"/>
    </row>
    <row r="42" spans="1:16" ht="18" x14ac:dyDescent="0.35">
      <c r="A42" s="46">
        <v>11</v>
      </c>
      <c r="B42" s="16" t="s">
        <v>358</v>
      </c>
      <c r="C42" s="14"/>
      <c r="D42" s="14">
        <v>1446.81</v>
      </c>
      <c r="E42" s="17">
        <v>0</v>
      </c>
      <c r="F42" s="17">
        <v>2267.2273011983179</v>
      </c>
      <c r="G42" s="132" t="s">
        <v>35</v>
      </c>
      <c r="H42" s="130">
        <f>H39</f>
        <v>4051.011230713345</v>
      </c>
      <c r="I42" s="132" t="s">
        <v>35</v>
      </c>
      <c r="J42" s="130">
        <f>J39</f>
        <v>6050.2211386209592</v>
      </c>
      <c r="K42" s="130"/>
      <c r="L42" s="130">
        <v>1591.49</v>
      </c>
      <c r="M42" s="132" t="s">
        <v>35</v>
      </c>
      <c r="N42" s="130">
        <f>N39</f>
        <v>6905.8054977557586</v>
      </c>
    </row>
    <row r="43" spans="1:16" ht="18" hidden="1" x14ac:dyDescent="0.35">
      <c r="A43" s="46" t="s">
        <v>165</v>
      </c>
      <c r="B43" s="16" t="s">
        <v>166</v>
      </c>
      <c r="C43" s="14"/>
      <c r="D43" s="14">
        <v>1110.27</v>
      </c>
      <c r="E43" s="17">
        <v>49907.870589102793</v>
      </c>
      <c r="F43" s="17">
        <v>1444.6368885605928</v>
      </c>
      <c r="G43" s="132">
        <v>49907.870589102793</v>
      </c>
      <c r="H43" s="130">
        <v>1444.6368885605928</v>
      </c>
      <c r="I43" s="132">
        <v>17172.550882001957</v>
      </c>
      <c r="J43" s="130">
        <v>2452.170624304149</v>
      </c>
      <c r="K43" s="130"/>
      <c r="L43" s="130">
        <v>1110.27</v>
      </c>
      <c r="M43" s="132">
        <v>1239.0273220193383</v>
      </c>
      <c r="N43" s="130">
        <v>2452.1730605982648</v>
      </c>
    </row>
    <row r="44" spans="1:16" ht="18" hidden="1" x14ac:dyDescent="0.35">
      <c r="A44" s="46" t="s">
        <v>167</v>
      </c>
      <c r="B44" s="16" t="s">
        <v>168</v>
      </c>
      <c r="C44" s="14"/>
      <c r="D44" s="14">
        <v>336.54</v>
      </c>
      <c r="E44" s="17">
        <v>20773.532643727402</v>
      </c>
      <c r="F44" s="17">
        <v>822.60041263772598</v>
      </c>
      <c r="G44" s="132">
        <v>20773.532643727402</v>
      </c>
      <c r="H44" s="130">
        <v>822.60041263772598</v>
      </c>
      <c r="I44" s="132">
        <v>4409.8738832322088</v>
      </c>
      <c r="J44" s="130">
        <v>851.00031730375304</v>
      </c>
      <c r="K44" s="130"/>
      <c r="L44" s="130">
        <v>481.22</v>
      </c>
      <c r="M44" s="132">
        <v>318.18108253397389</v>
      </c>
      <c r="N44" s="130">
        <v>850.99568638936944</v>
      </c>
    </row>
    <row r="45" spans="1:16" ht="18" hidden="1" x14ac:dyDescent="0.35">
      <c r="A45" s="46" t="s">
        <v>169</v>
      </c>
      <c r="B45" s="16" t="s">
        <v>170</v>
      </c>
      <c r="C45" s="14"/>
      <c r="D45" s="14">
        <v>76.739999999999995</v>
      </c>
      <c r="E45" s="17">
        <v>63.71793935275538</v>
      </c>
      <c r="F45" s="17">
        <v>63.718220391799527</v>
      </c>
      <c r="G45" s="132">
        <v>63.71793935275538</v>
      </c>
      <c r="H45" s="130">
        <v>63.718220391799527</v>
      </c>
      <c r="I45" s="132">
        <v>74.236867169535373</v>
      </c>
      <c r="J45" s="130">
        <v>74.236867169535373</v>
      </c>
      <c r="K45" s="130"/>
      <c r="L45" s="130">
        <v>69.760000000000005</v>
      </c>
      <c r="M45" s="132">
        <v>74.236776388072371</v>
      </c>
      <c r="N45" s="130">
        <v>74.236990248668178</v>
      </c>
    </row>
    <row r="46" spans="1:16" ht="18" hidden="1" x14ac:dyDescent="0.35">
      <c r="A46" s="46" t="s">
        <v>171</v>
      </c>
      <c r="B46" s="16" t="s">
        <v>172</v>
      </c>
      <c r="C46" s="14"/>
      <c r="D46" s="14">
        <v>23.26</v>
      </c>
      <c r="E46" s="17">
        <v>36.28206064724462</v>
      </c>
      <c r="F46" s="17">
        <v>36.281779608200473</v>
      </c>
      <c r="G46" s="132">
        <v>36.28206064724462</v>
      </c>
      <c r="H46" s="130">
        <v>36.281779608200473</v>
      </c>
      <c r="I46" s="132">
        <v>25.763132830464627</v>
      </c>
      <c r="J46" s="130">
        <v>25.763132830464627</v>
      </c>
      <c r="K46" s="130"/>
      <c r="L46" s="130">
        <v>30.24</v>
      </c>
      <c r="M46" s="132">
        <v>25.763223611927629</v>
      </c>
      <c r="N46" s="130">
        <v>25.763009751331822</v>
      </c>
    </row>
    <row r="47" spans="1:16" ht="18.75" hidden="1" customHeight="1" x14ac:dyDescent="0.35">
      <c r="A47" s="46" t="s">
        <v>173</v>
      </c>
      <c r="B47" s="16" t="s">
        <v>174</v>
      </c>
      <c r="C47" s="14">
        <v>44786.45</v>
      </c>
      <c r="D47" s="14"/>
      <c r="E47" s="17">
        <v>34547</v>
      </c>
      <c r="F47" s="17">
        <v>0</v>
      </c>
      <c r="G47" s="132">
        <v>34547</v>
      </c>
      <c r="H47" s="130">
        <v>0</v>
      </c>
      <c r="I47" s="132">
        <v>7003</v>
      </c>
      <c r="J47" s="130">
        <v>0</v>
      </c>
      <c r="K47" s="130">
        <v>678</v>
      </c>
      <c r="L47" s="130"/>
      <c r="M47" s="132">
        <v>505.27727505376345</v>
      </c>
      <c r="N47" s="130">
        <v>0</v>
      </c>
    </row>
    <row r="48" spans="1:16" ht="18" hidden="1" x14ac:dyDescent="0.35">
      <c r="A48" s="46" t="s">
        <v>175</v>
      </c>
      <c r="B48" s="16" t="s">
        <v>176</v>
      </c>
      <c r="C48" s="14"/>
      <c r="D48" s="14"/>
      <c r="E48" s="17">
        <v>0</v>
      </c>
      <c r="F48" s="17">
        <v>2720.6827614379818</v>
      </c>
      <c r="G48" s="132">
        <v>0</v>
      </c>
      <c r="H48" s="130">
        <v>2720.6827614379818</v>
      </c>
      <c r="I48" s="132">
        <v>0</v>
      </c>
      <c r="J48" s="130">
        <v>0</v>
      </c>
      <c r="K48" s="130"/>
      <c r="L48" s="130"/>
      <c r="M48" s="132">
        <v>0</v>
      </c>
      <c r="N48" s="130">
        <v>0</v>
      </c>
    </row>
    <row r="49" spans="1:14" ht="17.399999999999999" customHeight="1" x14ac:dyDescent="0.35">
      <c r="A49" s="47">
        <v>12</v>
      </c>
      <c r="B49" s="16" t="s">
        <v>359</v>
      </c>
      <c r="C49" s="14"/>
      <c r="D49" s="14">
        <v>1736.17</v>
      </c>
      <c r="E49" s="17">
        <v>0</v>
      </c>
      <c r="F49" s="17">
        <v>2720.6847614379822</v>
      </c>
      <c r="G49" s="132" t="s">
        <v>35</v>
      </c>
      <c r="H49" s="130">
        <f>H42*1.2</f>
        <v>4861.2134768560136</v>
      </c>
      <c r="I49" s="132" t="s">
        <v>35</v>
      </c>
      <c r="J49" s="130">
        <f>J42*1.2-0.01</f>
        <v>7260.2553663451508</v>
      </c>
      <c r="K49" s="130"/>
      <c r="L49" s="130">
        <v>1909.79</v>
      </c>
      <c r="M49" s="132" t="s">
        <v>35</v>
      </c>
      <c r="N49" s="130">
        <f>N39*1.2</f>
        <v>8286.9665973069095</v>
      </c>
    </row>
    <row r="50" spans="1:14" ht="18" hidden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1:14" ht="18" hidden="1" x14ac:dyDescent="0.35">
      <c r="A51" s="66" t="s">
        <v>310</v>
      </c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</row>
    <row r="52" spans="1:14" ht="0.7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27.75" customHeight="1" x14ac:dyDescent="0.35">
      <c r="A53" s="66" t="s">
        <v>368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</row>
    <row r="54" spans="1:14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</sheetData>
  <mergeCells count="16">
    <mergeCell ref="F1:H1"/>
    <mergeCell ref="M1:N1"/>
    <mergeCell ref="A2:N2"/>
    <mergeCell ref="A4:A6"/>
    <mergeCell ref="B4:B6"/>
    <mergeCell ref="C4:D4"/>
    <mergeCell ref="E4:F4"/>
    <mergeCell ref="G4:H5"/>
    <mergeCell ref="I4:J5"/>
    <mergeCell ref="K4:L4"/>
    <mergeCell ref="A53:N53"/>
    <mergeCell ref="M4:N5"/>
    <mergeCell ref="C5:D5"/>
    <mergeCell ref="E5:F5"/>
    <mergeCell ref="K5:L5"/>
    <mergeCell ref="A51:N51"/>
  </mergeCells>
  <pageMargins left="0.78740157480314965" right="0.78740157480314965" top="1.1811023622047245" bottom="0.55118110236220474" header="0" footer="0"/>
  <pageSetup paperSize="9" scale="6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1FE93-DFED-47A6-A272-4A9A64B3D5C5}">
  <dimension ref="A1:O61"/>
  <sheetViews>
    <sheetView topLeftCell="A14" workbookViewId="0">
      <selection activeCell="G8" sqref="G8:N42"/>
    </sheetView>
  </sheetViews>
  <sheetFormatPr defaultRowHeight="14.4" x14ac:dyDescent="0.3"/>
  <cols>
    <col min="1" max="1" width="7.109375" customWidth="1"/>
    <col min="2" max="2" width="78.88671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9" customWidth="1"/>
    <col min="15" max="15" width="12.6640625" hidden="1" customWidth="1"/>
  </cols>
  <sheetData>
    <row r="1" spans="1:15" ht="76.5" customHeight="1" x14ac:dyDescent="0.3">
      <c r="F1" s="72"/>
      <c r="G1" s="72"/>
      <c r="H1" s="72"/>
      <c r="M1" s="73" t="s">
        <v>314</v>
      </c>
      <c r="N1" s="73"/>
      <c r="O1" s="73"/>
    </row>
    <row r="2" spans="1:15" ht="36.75" customHeight="1" x14ac:dyDescent="0.3">
      <c r="A2" s="74" t="s">
        <v>306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0.75" hidden="1" customHeight="1" x14ac:dyDescent="0.3">
      <c r="A4" s="92" t="s">
        <v>132</v>
      </c>
      <c r="B4" s="89" t="s">
        <v>133</v>
      </c>
      <c r="C4" s="95" t="s">
        <v>290</v>
      </c>
      <c r="D4" s="95"/>
      <c r="E4" s="95" t="s">
        <v>291</v>
      </c>
      <c r="F4" s="95"/>
      <c r="G4" s="95" t="s">
        <v>290</v>
      </c>
      <c r="H4" s="95"/>
      <c r="I4" s="95" t="s">
        <v>291</v>
      </c>
      <c r="J4" s="95"/>
      <c r="K4" s="95" t="s">
        <v>290</v>
      </c>
      <c r="L4" s="95"/>
      <c r="M4" s="95" t="s">
        <v>291</v>
      </c>
      <c r="N4" s="95"/>
      <c r="O4" s="95" t="s">
        <v>292</v>
      </c>
    </row>
    <row r="5" spans="1:15" ht="38.25" customHeight="1" x14ac:dyDescent="0.3">
      <c r="A5" s="93"/>
      <c r="B5" s="90"/>
      <c r="C5" s="95" t="s">
        <v>293</v>
      </c>
      <c r="D5" s="95"/>
      <c r="E5" s="95" t="s">
        <v>300</v>
      </c>
      <c r="F5" s="95"/>
      <c r="G5" s="95" t="s">
        <v>300</v>
      </c>
      <c r="H5" s="95"/>
      <c r="I5" s="95" t="s">
        <v>307</v>
      </c>
      <c r="J5" s="95"/>
      <c r="K5" s="95" t="s">
        <v>294</v>
      </c>
      <c r="L5" s="95"/>
      <c r="M5" s="95" t="s">
        <v>308</v>
      </c>
      <c r="N5" s="95"/>
      <c r="O5" s="95"/>
    </row>
    <row r="6" spans="1:15" ht="18" x14ac:dyDescent="0.35">
      <c r="A6" s="94"/>
      <c r="B6" s="91"/>
      <c r="C6" s="18" t="s">
        <v>135</v>
      </c>
      <c r="D6" s="18" t="s">
        <v>134</v>
      </c>
      <c r="E6" s="18" t="s">
        <v>135</v>
      </c>
      <c r="F6" s="18" t="s">
        <v>134</v>
      </c>
      <c r="G6" s="21" t="s">
        <v>313</v>
      </c>
      <c r="H6" s="18" t="s">
        <v>312</v>
      </c>
      <c r="I6" s="18" t="s">
        <v>313</v>
      </c>
      <c r="J6" s="18" t="s">
        <v>312</v>
      </c>
      <c r="K6" s="18" t="s">
        <v>135</v>
      </c>
      <c r="L6" s="18" t="s">
        <v>134</v>
      </c>
      <c r="M6" s="18" t="s">
        <v>313</v>
      </c>
      <c r="N6" s="18" t="s">
        <v>312</v>
      </c>
      <c r="O6" s="18"/>
    </row>
    <row r="7" spans="1:15" ht="18" x14ac:dyDescent="0.35">
      <c r="A7" s="18">
        <v>1</v>
      </c>
      <c r="B7" s="18">
        <v>2</v>
      </c>
      <c r="C7" s="18"/>
      <c r="D7" s="18"/>
      <c r="E7" s="18">
        <v>3</v>
      </c>
      <c r="F7" s="18">
        <v>4</v>
      </c>
      <c r="G7" s="18">
        <v>3</v>
      </c>
      <c r="H7" s="18">
        <v>4</v>
      </c>
      <c r="I7" s="18">
        <v>5</v>
      </c>
      <c r="J7" s="18">
        <v>6</v>
      </c>
      <c r="K7" s="18"/>
      <c r="L7" s="18"/>
      <c r="M7" s="18">
        <v>7</v>
      </c>
      <c r="N7" s="18">
        <v>8</v>
      </c>
      <c r="O7" s="18"/>
    </row>
    <row r="8" spans="1:15" ht="18" x14ac:dyDescent="0.35">
      <c r="A8" s="14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17">
        <f>G9+G20+G21+G24</f>
        <v>91544.440000000017</v>
      </c>
      <c r="H8" s="17">
        <f>G8/G42*1000</f>
        <v>2777.3562695306578</v>
      </c>
      <c r="I8" s="17">
        <f>I9+I20+I21+I24</f>
        <v>28725.57</v>
      </c>
      <c r="J8" s="17">
        <f>J9+J20+J21+J24</f>
        <v>4062.4480271531606</v>
      </c>
      <c r="K8" s="17">
        <v>952.54</v>
      </c>
      <c r="L8" s="17">
        <v>1405.09</v>
      </c>
      <c r="M8" s="17">
        <f>M9+M20+M21+M24</f>
        <v>3719.1499999999996</v>
      </c>
      <c r="N8" s="17">
        <f>N9+N20+N21+N24</f>
        <v>6713.26714801444</v>
      </c>
      <c r="O8" s="14">
        <v>98148.493699220722</v>
      </c>
    </row>
    <row r="9" spans="1:15" ht="18" x14ac:dyDescent="0.35">
      <c r="A9" s="14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17">
        <f>G10+G14+G18+G19</f>
        <v>69099.670000000013</v>
      </c>
      <c r="H9" s="17">
        <f>G9/G42*1000</f>
        <v>2096.4069658080766</v>
      </c>
      <c r="I9" s="17">
        <f>I10+I14+I18+I19</f>
        <v>23910.57</v>
      </c>
      <c r="J9" s="17">
        <f>J10+J14+J18+J19</f>
        <v>3381.4976665252439</v>
      </c>
      <c r="K9" s="17">
        <v>800.76</v>
      </c>
      <c r="L9" s="17">
        <v>1181.07</v>
      </c>
      <c r="M9" s="17">
        <f>M10+M14+M18+M19</f>
        <v>3341.91</v>
      </c>
      <c r="N9" s="17">
        <f>N10+N14+N18+N19</f>
        <v>6032.328519855595</v>
      </c>
      <c r="O9" s="14">
        <v>73050.07147387549</v>
      </c>
    </row>
    <row r="10" spans="1:15" ht="18.75" customHeight="1" x14ac:dyDescent="0.35">
      <c r="A10" s="14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17">
        <v>60308.74</v>
      </c>
      <c r="H10" s="17">
        <f>G10/G42*1000</f>
        <v>1829.699948423895</v>
      </c>
      <c r="I10" s="17">
        <v>22024.69</v>
      </c>
      <c r="J10" s="17">
        <f>I10/I42*1000</f>
        <v>3114.7914014990806</v>
      </c>
      <c r="K10" s="17">
        <v>752.76</v>
      </c>
      <c r="L10" s="17">
        <v>1110.27</v>
      </c>
      <c r="M10" s="17">
        <v>3194.16</v>
      </c>
      <c r="N10" s="17">
        <f>M10/M42*1000</f>
        <v>5765.6317689530679</v>
      </c>
      <c r="O10" s="14">
        <v>68319.448793124087</v>
      </c>
    </row>
    <row r="11" spans="1:15" ht="18" hidden="1" x14ac:dyDescent="0.35">
      <c r="A11" s="14"/>
      <c r="B11" s="16" t="s">
        <v>295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17">
        <v>39675.38494593247</v>
      </c>
      <c r="H11" s="17">
        <v>1148.4466074024508</v>
      </c>
      <c r="I11" s="17">
        <v>13651.705807216009</v>
      </c>
      <c r="J11" s="17">
        <v>1949.4082260768255</v>
      </c>
      <c r="K11" s="17">
        <v>671.71002842055555</v>
      </c>
      <c r="L11" s="17">
        <v>990.72678311080585</v>
      </c>
      <c r="M11" s="17">
        <v>984.96170574653604</v>
      </c>
      <c r="N11" s="17">
        <v>1949.3699718897478</v>
      </c>
      <c r="O11" s="14">
        <v>54312.052458895014</v>
      </c>
    </row>
    <row r="12" spans="1:15" ht="18" hidden="1" x14ac:dyDescent="0.35">
      <c r="A12" s="14"/>
      <c r="B12" s="16" t="s">
        <v>296</v>
      </c>
      <c r="C12" s="14">
        <v>1118.5450005724183</v>
      </c>
      <c r="D12" s="14">
        <v>24.97507710470957</v>
      </c>
      <c r="E12" s="17">
        <v>1216.9208979463872</v>
      </c>
      <c r="F12" s="17">
        <v>35.225081713213505</v>
      </c>
      <c r="G12" s="17">
        <v>1216.9208979463872</v>
      </c>
      <c r="H12" s="17">
        <v>35.225081713213505</v>
      </c>
      <c r="I12" s="17">
        <v>418.72425716994559</v>
      </c>
      <c r="J12" s="17">
        <v>59.792125827494722</v>
      </c>
      <c r="K12" s="17">
        <v>16.933033443523804</v>
      </c>
      <c r="L12" s="17">
        <v>24.97507710470957</v>
      </c>
      <c r="M12" s="17">
        <v>30.210683148589407</v>
      </c>
      <c r="N12" s="17">
        <v>59.790339058752735</v>
      </c>
      <c r="O12" s="14">
        <v>1665.8558382649221</v>
      </c>
    </row>
    <row r="13" spans="1:15" ht="18" hidden="1" x14ac:dyDescent="0.35">
      <c r="A13" s="14"/>
      <c r="B13" s="16" t="s">
        <v>297</v>
      </c>
      <c r="C13" s="14">
        <v>4235.3711071995804</v>
      </c>
      <c r="D13" s="14">
        <v>94.568139784484558</v>
      </c>
      <c r="E13" s="17">
        <v>9015.5647452239355</v>
      </c>
      <c r="F13" s="17">
        <v>260.96519944492843</v>
      </c>
      <c r="G13" s="17">
        <v>9015.5647452239355</v>
      </c>
      <c r="H13" s="17">
        <v>260.96519944492843</v>
      </c>
      <c r="I13" s="17">
        <v>3102.1208176160021</v>
      </c>
      <c r="J13" s="17">
        <v>442.97027239982879</v>
      </c>
      <c r="K13" s="17">
        <v>64.116938135920634</v>
      </c>
      <c r="L13" s="17">
        <v>94.568139784484558</v>
      </c>
      <c r="M13" s="17">
        <v>223.85493312421283</v>
      </c>
      <c r="N13" s="17">
        <v>443.01408452039715</v>
      </c>
      <c r="O13" s="14">
        <v>12341.540495964149</v>
      </c>
    </row>
    <row r="14" spans="1:15" ht="19.5" customHeight="1" x14ac:dyDescent="0.35">
      <c r="A14" s="14" t="s">
        <v>41</v>
      </c>
      <c r="B14" s="16" t="s">
        <v>139</v>
      </c>
      <c r="C14" s="14">
        <v>2922.32</v>
      </c>
      <c r="D14" s="14">
        <v>65.25</v>
      </c>
      <c r="E14" s="17">
        <v>3494.3465336017216</v>
      </c>
      <c r="F14" s="17">
        <v>101.14761147427335</v>
      </c>
      <c r="G14" s="17">
        <v>5472.53</v>
      </c>
      <c r="H14" s="17">
        <f>G14/G42*1000</f>
        <v>166.03046024089073</v>
      </c>
      <c r="I14" s="17">
        <v>1174</v>
      </c>
      <c r="J14" s="17">
        <f>I14/I42*1000</f>
        <v>166.03026446047235</v>
      </c>
      <c r="K14" s="17">
        <v>44.24</v>
      </c>
      <c r="L14" s="17">
        <v>65.25</v>
      </c>
      <c r="M14" s="17">
        <v>91.98</v>
      </c>
      <c r="N14" s="17">
        <f>M14/M42*1000</f>
        <v>166.02888086642599</v>
      </c>
      <c r="O14" s="14">
        <v>4253.7910250977184</v>
      </c>
    </row>
    <row r="15" spans="1:15" ht="18" hidden="1" x14ac:dyDescent="0.35">
      <c r="A15" s="14" t="s">
        <v>43</v>
      </c>
      <c r="B15" s="16" t="s">
        <v>140</v>
      </c>
      <c r="C15" s="14"/>
      <c r="D15" s="14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/>
      <c r="L15" s="17"/>
      <c r="M15" s="17">
        <v>0</v>
      </c>
      <c r="N15" s="17">
        <v>0</v>
      </c>
      <c r="O15" s="14">
        <v>0</v>
      </c>
    </row>
    <row r="16" spans="1:15" ht="36" hidden="1" x14ac:dyDescent="0.35">
      <c r="A16" s="14" t="s">
        <v>141</v>
      </c>
      <c r="B16" s="16" t="s">
        <v>142</v>
      </c>
      <c r="C16" s="14"/>
      <c r="D16" s="14"/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/>
      <c r="L16" s="17"/>
      <c r="M16" s="17">
        <v>0</v>
      </c>
      <c r="N16" s="17">
        <v>0</v>
      </c>
      <c r="O16" s="14">
        <v>0</v>
      </c>
    </row>
    <row r="17" spans="1:15" ht="18" hidden="1" x14ac:dyDescent="0.35">
      <c r="A17" s="14" t="s">
        <v>45</v>
      </c>
      <c r="B17" s="16" t="s">
        <v>143</v>
      </c>
      <c r="C17" s="14"/>
      <c r="D17" s="14"/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/>
      <c r="L17" s="17"/>
      <c r="M17" s="17">
        <v>0</v>
      </c>
      <c r="N17" s="17">
        <v>0</v>
      </c>
      <c r="O17" s="14">
        <v>0</v>
      </c>
    </row>
    <row r="18" spans="1:15" ht="18" x14ac:dyDescent="0.35">
      <c r="A18" s="14" t="s">
        <v>301</v>
      </c>
      <c r="B18" s="16" t="s">
        <v>46</v>
      </c>
      <c r="C18" s="14">
        <v>110.79</v>
      </c>
      <c r="D18" s="14">
        <v>2.4700000000000002</v>
      </c>
      <c r="E18" s="17">
        <v>109.42068458420637</v>
      </c>
      <c r="F18" s="17">
        <v>3.1672991745797425</v>
      </c>
      <c r="G18" s="17">
        <v>260.83</v>
      </c>
      <c r="H18" s="17">
        <f>G18/G42*1000</f>
        <v>7.9132914656715512</v>
      </c>
      <c r="I18" s="17">
        <v>55.95</v>
      </c>
      <c r="J18" s="17">
        <f>I18/I42*1000</f>
        <v>7.9126007636826472</v>
      </c>
      <c r="K18" s="17">
        <v>1.67</v>
      </c>
      <c r="L18" s="17">
        <v>2.4700000000000002</v>
      </c>
      <c r="M18" s="17">
        <v>4.38</v>
      </c>
      <c r="N18" s="17">
        <f>M18/M42*1000</f>
        <v>7.9061371841155239</v>
      </c>
      <c r="O18" s="14">
        <v>133.20165227659163</v>
      </c>
    </row>
    <row r="19" spans="1:15" ht="18" customHeight="1" x14ac:dyDescent="0.35">
      <c r="A19" s="14" t="s">
        <v>302</v>
      </c>
      <c r="B19" s="16" t="s">
        <v>144</v>
      </c>
      <c r="C19" s="14">
        <v>137.78</v>
      </c>
      <c r="D19" s="14">
        <v>3.08</v>
      </c>
      <c r="E19" s="17">
        <v>164.28241521803835</v>
      </c>
      <c r="F19" s="17">
        <v>4.7553308599310604</v>
      </c>
      <c r="G19" s="17">
        <v>3057.57</v>
      </c>
      <c r="H19" s="17">
        <f>G19/G42*1000</f>
        <v>92.763265677619017</v>
      </c>
      <c r="I19" s="17">
        <v>655.93</v>
      </c>
      <c r="J19" s="17">
        <f>I19/I42*1000</f>
        <v>92.763399802008195</v>
      </c>
      <c r="K19" s="17">
        <v>2.09</v>
      </c>
      <c r="L19" s="17">
        <v>3.08</v>
      </c>
      <c r="M19" s="17">
        <v>51.39</v>
      </c>
      <c r="N19" s="17">
        <f>M19/M42*1000</f>
        <v>92.76173285198557</v>
      </c>
      <c r="O19" s="14">
        <v>413.22000327549733</v>
      </c>
    </row>
    <row r="20" spans="1:15" ht="36.75" customHeight="1" x14ac:dyDescent="0.35">
      <c r="A20" s="14" t="s">
        <v>49</v>
      </c>
      <c r="B20" s="16" t="s">
        <v>145</v>
      </c>
      <c r="C20" s="14">
        <v>5240.01</v>
      </c>
      <c r="D20" s="14">
        <v>117</v>
      </c>
      <c r="E20" s="17">
        <v>8034.1019561128678</v>
      </c>
      <c r="F20" s="17">
        <v>232.5557054480235</v>
      </c>
      <c r="G20" s="17">
        <f>8595.53</f>
        <v>8595.5300000000007</v>
      </c>
      <c r="H20" s="17">
        <f>G20/G42*1000</f>
        <v>260.77879918691787</v>
      </c>
      <c r="I20" s="17">
        <v>1843.97</v>
      </c>
      <c r="J20" s="17">
        <f>I20/I42*1000</f>
        <v>260.7792391458068</v>
      </c>
      <c r="K20" s="17">
        <v>79.23</v>
      </c>
      <c r="L20" s="17">
        <v>117</v>
      </c>
      <c r="M20" s="17">
        <v>144.47</v>
      </c>
      <c r="N20" s="17">
        <f>M20/M42*1000</f>
        <v>260.77617328519852</v>
      </c>
      <c r="O20" s="14">
        <v>9780.1947004323792</v>
      </c>
    </row>
    <row r="21" spans="1:15" ht="18" x14ac:dyDescent="0.35">
      <c r="A21" s="14" t="s">
        <v>51</v>
      </c>
      <c r="B21" s="16" t="s">
        <v>146</v>
      </c>
      <c r="C21" s="14">
        <v>1142.56</v>
      </c>
      <c r="D21" s="14">
        <v>25.51</v>
      </c>
      <c r="E21" s="17">
        <v>4176.7628483106555</v>
      </c>
      <c r="F21" s="17">
        <v>120.90088425364449</v>
      </c>
      <c r="G21" s="17">
        <f>G22+G23</f>
        <v>4314.6399999999994</v>
      </c>
      <c r="H21" s="17">
        <f>G21/G42*1000</f>
        <v>130.90136828372923</v>
      </c>
      <c r="I21" s="17">
        <f>I22+I23</f>
        <v>925.61</v>
      </c>
      <c r="J21" s="17">
        <f>J22+J23</f>
        <v>130.90227690567104</v>
      </c>
      <c r="K21" s="17">
        <v>17.29</v>
      </c>
      <c r="L21" s="17">
        <v>25.51</v>
      </c>
      <c r="M21" s="17">
        <f>M22+M23</f>
        <v>72.52000000000001</v>
      </c>
      <c r="N21" s="17">
        <f>N22+N23</f>
        <v>130.90252707581229</v>
      </c>
      <c r="O21" s="14">
        <v>5084.5203299667946</v>
      </c>
    </row>
    <row r="22" spans="1:15" ht="18" x14ac:dyDescent="0.35">
      <c r="A22" s="14" t="s">
        <v>53</v>
      </c>
      <c r="B22" s="16" t="s">
        <v>56</v>
      </c>
      <c r="C22" s="14">
        <v>806.66</v>
      </c>
      <c r="D22" s="14">
        <v>18.010000000000002</v>
      </c>
      <c r="E22" s="17">
        <v>2947.4758968707151</v>
      </c>
      <c r="F22" s="17">
        <v>85.317853847532788</v>
      </c>
      <c r="G22" s="17">
        <v>3099.33</v>
      </c>
      <c r="H22" s="17">
        <f>G22/G42*1000</f>
        <v>94.030217529807942</v>
      </c>
      <c r="I22" s="17">
        <v>664.89</v>
      </c>
      <c r="J22" s="17">
        <f>I22/I42*1000</f>
        <v>94.030547305897329</v>
      </c>
      <c r="K22" s="17">
        <v>12.21</v>
      </c>
      <c r="L22" s="17">
        <v>18.010000000000002</v>
      </c>
      <c r="M22" s="17">
        <v>52.09</v>
      </c>
      <c r="N22" s="17">
        <f>M22/M42*1000</f>
        <v>94.025270758122758</v>
      </c>
      <c r="O22" s="14">
        <v>3588.0661154562245</v>
      </c>
    </row>
    <row r="23" spans="1:15" ht="18" x14ac:dyDescent="0.35">
      <c r="A23" s="14" t="s">
        <v>55</v>
      </c>
      <c r="B23" s="16" t="s">
        <v>311</v>
      </c>
      <c r="C23" s="14">
        <v>335.9</v>
      </c>
      <c r="D23" s="14">
        <v>7.5</v>
      </c>
      <c r="E23" s="17">
        <v>1229.286951439941</v>
      </c>
      <c r="F23" s="17">
        <v>35.583030406111703</v>
      </c>
      <c r="G23" s="17">
        <v>1215.31</v>
      </c>
      <c r="H23" s="17">
        <f>G23/G42*1000</f>
        <v>36.871150753921299</v>
      </c>
      <c r="I23" s="17">
        <v>260.72000000000003</v>
      </c>
      <c r="J23" s="17">
        <f>I23/I42*1000</f>
        <v>36.87172959977373</v>
      </c>
      <c r="K23" s="17">
        <v>5.08</v>
      </c>
      <c r="L23" s="17">
        <v>7.5</v>
      </c>
      <c r="M23" s="17">
        <v>20.43</v>
      </c>
      <c r="N23" s="17">
        <f>M23/M42*1000</f>
        <v>36.877256317689529</v>
      </c>
      <c r="O23" s="14">
        <v>1496.4542145105709</v>
      </c>
    </row>
    <row r="24" spans="1:15" ht="18" x14ac:dyDescent="0.35">
      <c r="A24" s="14" t="s">
        <v>59</v>
      </c>
      <c r="B24" s="16" t="s">
        <v>147</v>
      </c>
      <c r="C24" s="14">
        <v>3650.51</v>
      </c>
      <c r="D24" s="14">
        <v>81.510000000000005</v>
      </c>
      <c r="E24" s="17">
        <v>8406.6471456333948</v>
      </c>
      <c r="F24" s="17">
        <v>243.33942587296713</v>
      </c>
      <c r="G24" s="17">
        <f>G25+G26</f>
        <v>9534.6</v>
      </c>
      <c r="H24" s="17">
        <f>G24/G42*1000</f>
        <v>289.26913625193413</v>
      </c>
      <c r="I24" s="17">
        <f>I25+I26</f>
        <v>2045.42</v>
      </c>
      <c r="J24" s="17">
        <f>J25+J26</f>
        <v>289.26884457643899</v>
      </c>
      <c r="K24" s="17">
        <v>55.26</v>
      </c>
      <c r="L24" s="17">
        <v>81.510000000000005</v>
      </c>
      <c r="M24" s="17">
        <f>M25+M26</f>
        <v>160.25</v>
      </c>
      <c r="N24" s="17">
        <f>N25+N26</f>
        <v>289.25992779783394</v>
      </c>
      <c r="O24" s="14">
        <v>10233.707024380214</v>
      </c>
    </row>
    <row r="25" spans="1:15" ht="20.25" customHeight="1" x14ac:dyDescent="0.35">
      <c r="A25" s="14" t="s">
        <v>61</v>
      </c>
      <c r="B25" s="16" t="s">
        <v>148</v>
      </c>
      <c r="C25" s="14">
        <v>3321.11</v>
      </c>
      <c r="D25" s="14">
        <v>74.150000000000006</v>
      </c>
      <c r="E25" s="17">
        <v>7303.0470979519923</v>
      </c>
      <c r="F25" s="17">
        <v>211.39453781665532</v>
      </c>
      <c r="G25" s="17">
        <v>7820.46</v>
      </c>
      <c r="H25" s="17">
        <f>G25/G42*1000</f>
        <v>237.2640393191954</v>
      </c>
      <c r="I25" s="17">
        <v>1677.69</v>
      </c>
      <c r="J25" s="17">
        <f>I25/I42*1000</f>
        <v>237.26347051336447</v>
      </c>
      <c r="K25" s="17">
        <v>50.27</v>
      </c>
      <c r="L25" s="17">
        <v>74.150000000000006</v>
      </c>
      <c r="M25" s="17">
        <v>131.44</v>
      </c>
      <c r="N25" s="17">
        <f>M25/M42*1000</f>
        <v>237.25631768953068</v>
      </c>
      <c r="O25" s="14">
        <v>8890.2560481736564</v>
      </c>
    </row>
    <row r="26" spans="1:15" ht="18" x14ac:dyDescent="0.35">
      <c r="A26" s="14" t="s">
        <v>63</v>
      </c>
      <c r="B26" s="16" t="s">
        <v>65</v>
      </c>
      <c r="C26" s="14">
        <v>329.4</v>
      </c>
      <c r="D26" s="14">
        <v>7.36</v>
      </c>
      <c r="E26" s="17">
        <v>1103.6000476814036</v>
      </c>
      <c r="F26" s="17">
        <v>31.944888056311797</v>
      </c>
      <c r="G26" s="17">
        <v>1714.14</v>
      </c>
      <c r="H26" s="17">
        <f>G26/G42*1000</f>
        <v>52.005096932738695</v>
      </c>
      <c r="I26" s="17">
        <v>367.73</v>
      </c>
      <c r="J26" s="17">
        <f>I26/I42*1000</f>
        <v>52.005374063074534</v>
      </c>
      <c r="K26" s="17">
        <v>4.99</v>
      </c>
      <c r="L26" s="17">
        <v>7.36</v>
      </c>
      <c r="M26" s="17">
        <v>28.81</v>
      </c>
      <c r="N26" s="17">
        <f>M26/M42*1000</f>
        <v>52.003610108303249</v>
      </c>
      <c r="O26" s="14">
        <v>1343.4511467724149</v>
      </c>
    </row>
    <row r="27" spans="1:15" ht="18" x14ac:dyDescent="0.35">
      <c r="A27" s="14" t="s">
        <v>149</v>
      </c>
      <c r="B27" s="16" t="s">
        <v>150</v>
      </c>
      <c r="C27" s="14">
        <v>1821.53</v>
      </c>
      <c r="D27" s="14">
        <v>40.67</v>
      </c>
      <c r="E27" s="17">
        <v>4089.9807236778006</v>
      </c>
      <c r="F27" s="17">
        <v>118.38888249856139</v>
      </c>
      <c r="G27" s="17">
        <f>G28+G29</f>
        <v>4615</v>
      </c>
      <c r="H27" s="17">
        <f>H28+H29</f>
        <v>140.01395588726069</v>
      </c>
      <c r="I27" s="17">
        <f>I28+I29</f>
        <v>990.04</v>
      </c>
      <c r="J27" s="17">
        <f>J28+J29</f>
        <v>140.01414227124877</v>
      </c>
      <c r="K27" s="17">
        <v>27.57</v>
      </c>
      <c r="L27" s="17">
        <v>40.67</v>
      </c>
      <c r="M27" s="17">
        <f>M28+M29</f>
        <v>77.570000000000007</v>
      </c>
      <c r="N27" s="17">
        <f>N28+N29</f>
        <v>140.01805054151626</v>
      </c>
      <c r="O27" s="14">
        <v>4978.8773609640157</v>
      </c>
    </row>
    <row r="28" spans="1:15" ht="16.5" customHeight="1" x14ac:dyDescent="0.35">
      <c r="A28" s="14" t="s">
        <v>67</v>
      </c>
      <c r="B28" s="16" t="s">
        <v>148</v>
      </c>
      <c r="C28" s="14">
        <v>1705.92</v>
      </c>
      <c r="D28" s="14">
        <v>38.090000000000003</v>
      </c>
      <c r="E28" s="17">
        <v>3425.2107122297944</v>
      </c>
      <c r="F28" s="17">
        <v>99.146400909769127</v>
      </c>
      <c r="G28" s="17">
        <v>3844.43</v>
      </c>
      <c r="H28" s="17">
        <f>G28/G42*1000</f>
        <v>116.63572100361031</v>
      </c>
      <c r="I28" s="17">
        <v>824.73</v>
      </c>
      <c r="J28" s="17">
        <f>I28/I42*1000</f>
        <v>116.63555366991939</v>
      </c>
      <c r="K28" s="17">
        <v>25.82</v>
      </c>
      <c r="L28" s="17">
        <v>38.090000000000003</v>
      </c>
      <c r="M28" s="17">
        <v>64.62</v>
      </c>
      <c r="N28" s="17">
        <f>M28/M42*1000</f>
        <v>116.64259927797835</v>
      </c>
      <c r="O28" s="14">
        <v>4169.6294494951408</v>
      </c>
    </row>
    <row r="29" spans="1:15" ht="18" x14ac:dyDescent="0.35">
      <c r="A29" s="14" t="s">
        <v>68</v>
      </c>
      <c r="B29" s="16" t="s">
        <v>65</v>
      </c>
      <c r="C29" s="14">
        <v>115.61</v>
      </c>
      <c r="D29" s="14">
        <v>2.58</v>
      </c>
      <c r="E29" s="17">
        <v>664.7700114480067</v>
      </c>
      <c r="F29" s="17">
        <v>19.242481588792273</v>
      </c>
      <c r="G29" s="17">
        <v>770.57</v>
      </c>
      <c r="H29" s="17">
        <f>G29/G42*1000</f>
        <v>23.378234883650375</v>
      </c>
      <c r="I29" s="17">
        <v>165.31</v>
      </c>
      <c r="J29" s="17">
        <f>I29/I42*1000</f>
        <v>23.378588601329373</v>
      </c>
      <c r="K29" s="17">
        <v>1.75</v>
      </c>
      <c r="L29" s="17">
        <v>2.58</v>
      </c>
      <c r="M29" s="17">
        <v>12.95</v>
      </c>
      <c r="N29" s="17">
        <f>M29/M42*1000</f>
        <v>23.375451263537904</v>
      </c>
      <c r="O29" s="14">
        <v>809.2479114688756</v>
      </c>
    </row>
    <row r="30" spans="1:15" ht="18" x14ac:dyDescent="0.35">
      <c r="A30" s="14" t="s">
        <v>151</v>
      </c>
      <c r="B30" s="16" t="s">
        <v>152</v>
      </c>
      <c r="C30" s="14">
        <v>47.03</v>
      </c>
      <c r="D30" s="14">
        <v>1.05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0.71</v>
      </c>
      <c r="L30" s="17">
        <v>1.05</v>
      </c>
      <c r="M30" s="17">
        <v>0</v>
      </c>
      <c r="N30" s="17">
        <v>0</v>
      </c>
      <c r="O30" s="14">
        <v>0</v>
      </c>
    </row>
    <row r="31" spans="1:15" ht="22.5" customHeight="1" x14ac:dyDescent="0.35">
      <c r="A31" s="14" t="s">
        <v>72</v>
      </c>
      <c r="B31" s="16" t="s">
        <v>148</v>
      </c>
      <c r="C31" s="14">
        <v>44.79</v>
      </c>
      <c r="D31" s="14">
        <v>1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0.68</v>
      </c>
      <c r="L31" s="17">
        <v>1</v>
      </c>
      <c r="M31" s="17">
        <v>0</v>
      </c>
      <c r="N31" s="17">
        <v>0</v>
      </c>
      <c r="O31" s="14">
        <v>0</v>
      </c>
    </row>
    <row r="32" spans="1:15" ht="18" x14ac:dyDescent="0.35">
      <c r="A32" s="14" t="s">
        <v>73</v>
      </c>
      <c r="B32" s="16" t="s">
        <v>65</v>
      </c>
      <c r="C32" s="14">
        <v>2.2400000000000002</v>
      </c>
      <c r="D32" s="14">
        <v>0.05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0.03</v>
      </c>
      <c r="L32" s="17">
        <v>0.05</v>
      </c>
      <c r="M32" s="17">
        <v>0</v>
      </c>
      <c r="N32" s="17">
        <v>0</v>
      </c>
      <c r="O32" s="14">
        <v>0</v>
      </c>
    </row>
    <row r="33" spans="1:15" ht="18" x14ac:dyDescent="0.35">
      <c r="A33" s="14" t="s">
        <v>153</v>
      </c>
      <c r="B33" s="16" t="s">
        <v>154</v>
      </c>
      <c r="C33" s="14"/>
      <c r="D33" s="14"/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/>
      <c r="L33" s="17"/>
      <c r="M33" s="17">
        <v>0</v>
      </c>
      <c r="N33" s="17">
        <v>0</v>
      </c>
      <c r="O33" s="14">
        <v>0</v>
      </c>
    </row>
    <row r="34" spans="1:15" ht="18" x14ac:dyDescent="0.35">
      <c r="A34" s="14" t="s">
        <v>155</v>
      </c>
      <c r="B34" s="16" t="s">
        <v>156</v>
      </c>
      <c r="C34" s="14">
        <v>64797.58</v>
      </c>
      <c r="D34" s="14">
        <v>1446.81</v>
      </c>
      <c r="E34" s="17">
        <v>78326.247044498319</v>
      </c>
      <c r="F34" s="17">
        <v>2267.2373011983182</v>
      </c>
      <c r="G34" s="17">
        <f>G8+G27</f>
        <v>96159.440000000017</v>
      </c>
      <c r="H34" s="17">
        <f>G34/G42*1000</f>
        <v>2917.3702254179184</v>
      </c>
      <c r="I34" s="17">
        <f>I8+I27</f>
        <v>29715.61</v>
      </c>
      <c r="J34" s="17">
        <f>J8+J27</f>
        <v>4202.4621694244097</v>
      </c>
      <c r="K34" s="17">
        <v>980.82</v>
      </c>
      <c r="L34" s="17">
        <v>1446.81</v>
      </c>
      <c r="M34" s="17">
        <f>M8+M27</f>
        <v>3796.72</v>
      </c>
      <c r="N34" s="17">
        <f>N8+N27</f>
        <v>6853.2851985559564</v>
      </c>
      <c r="O34" s="14">
        <v>103127.37106018477</v>
      </c>
    </row>
    <row r="35" spans="1:15" ht="18" x14ac:dyDescent="0.35">
      <c r="A35" s="14" t="s">
        <v>157</v>
      </c>
      <c r="B35" s="16" t="s">
        <v>158</v>
      </c>
      <c r="C35" s="14"/>
      <c r="D35" s="14"/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/>
      <c r="L35" s="17"/>
      <c r="M35" s="17">
        <v>0</v>
      </c>
      <c r="N35" s="17">
        <v>0</v>
      </c>
      <c r="O35" s="14">
        <v>0</v>
      </c>
    </row>
    <row r="36" spans="1:15" ht="18" x14ac:dyDescent="0.35">
      <c r="A36" s="14" t="s">
        <v>159</v>
      </c>
      <c r="B36" s="16" t="s">
        <v>160</v>
      </c>
      <c r="C36" s="14"/>
      <c r="D36" s="14"/>
      <c r="E36" s="17">
        <v>0</v>
      </c>
      <c r="F36" s="17">
        <v>0</v>
      </c>
      <c r="G36" s="17">
        <f>G37+G38+G39+G40</f>
        <v>3909.69</v>
      </c>
      <c r="H36" s="17">
        <f>G36/G42*1000</f>
        <v>118.61563666150906</v>
      </c>
      <c r="I36" s="17">
        <f>I37+I39+I40</f>
        <v>1269.56</v>
      </c>
      <c r="J36" s="17">
        <f>I36/I42*1000</f>
        <v>179.54461886578986</v>
      </c>
      <c r="K36" s="17">
        <v>98.09</v>
      </c>
      <c r="L36" s="17">
        <v>144.68</v>
      </c>
      <c r="M36" s="17">
        <f>M37+M39+M40</f>
        <v>169.16</v>
      </c>
      <c r="N36" s="17">
        <f>N37+N39+N40</f>
        <v>305.34296028880863</v>
      </c>
      <c r="O36" s="14">
        <v>0</v>
      </c>
    </row>
    <row r="37" spans="1:15" ht="18" x14ac:dyDescent="0.35">
      <c r="A37" s="14" t="s">
        <v>79</v>
      </c>
      <c r="B37" s="16" t="s">
        <v>80</v>
      </c>
      <c r="C37" s="14"/>
      <c r="D37" s="14"/>
      <c r="E37" s="17">
        <v>0</v>
      </c>
      <c r="F37" s="17">
        <v>0</v>
      </c>
      <c r="G37" s="17">
        <v>307.2</v>
      </c>
      <c r="H37" s="17">
        <f>G37/G42*1000</f>
        <v>9.3201055793210159</v>
      </c>
      <c r="I37" s="17">
        <v>99.69</v>
      </c>
      <c r="J37" s="17">
        <f>I37/I42*1000</f>
        <v>14.098430207891386</v>
      </c>
      <c r="K37" s="17">
        <v>17.649999999999999</v>
      </c>
      <c r="L37" s="17">
        <v>26.04</v>
      </c>
      <c r="M37" s="17">
        <v>13.36</v>
      </c>
      <c r="N37" s="17">
        <f>M37/M42*1000</f>
        <v>24.115523465703973</v>
      </c>
      <c r="O37" s="14">
        <v>0</v>
      </c>
    </row>
    <row r="38" spans="1:15" ht="18" x14ac:dyDescent="0.35">
      <c r="A38" s="14" t="s">
        <v>81</v>
      </c>
      <c r="B38" s="16" t="s">
        <v>161</v>
      </c>
      <c r="C38" s="14"/>
      <c r="D38" s="14"/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/>
      <c r="L38" s="17"/>
      <c r="M38" s="17"/>
      <c r="N38" s="17">
        <f>M38/M42*1000</f>
        <v>0</v>
      </c>
      <c r="O38" s="14">
        <v>0</v>
      </c>
    </row>
    <row r="39" spans="1:15" ht="18" x14ac:dyDescent="0.35">
      <c r="A39" s="14" t="s">
        <v>83</v>
      </c>
      <c r="B39" s="16" t="s">
        <v>162</v>
      </c>
      <c r="C39" s="14"/>
      <c r="D39" s="14"/>
      <c r="E39" s="17">
        <v>0</v>
      </c>
      <c r="F39" s="17">
        <v>0</v>
      </c>
      <c r="G39" s="17">
        <v>1706.68</v>
      </c>
      <c r="H39" s="17">
        <f>G39/G42*1000</f>
        <v>51.77876884803252</v>
      </c>
      <c r="I39" s="17">
        <v>554.23</v>
      </c>
      <c r="J39" s="17">
        <f>I39/I42*1000</f>
        <v>78.380709942016694</v>
      </c>
      <c r="K39" s="17">
        <v>80.44</v>
      </c>
      <c r="L39" s="17">
        <v>118.64</v>
      </c>
      <c r="M39" s="17">
        <v>73.819999999999993</v>
      </c>
      <c r="N39" s="17">
        <f>M39/M42*1000</f>
        <v>133.24909747292418</v>
      </c>
      <c r="O39" s="14">
        <v>0</v>
      </c>
    </row>
    <row r="40" spans="1:15" ht="18" x14ac:dyDescent="0.35">
      <c r="A40" s="14" t="s">
        <v>85</v>
      </c>
      <c r="B40" s="16" t="s">
        <v>303</v>
      </c>
      <c r="C40" s="14"/>
      <c r="D40" s="14"/>
      <c r="E40" s="17">
        <v>0</v>
      </c>
      <c r="F40" s="17">
        <v>0</v>
      </c>
      <c r="G40" s="17">
        <v>1895.81</v>
      </c>
      <c r="H40" s="17">
        <v>0</v>
      </c>
      <c r="I40" s="17">
        <v>615.64</v>
      </c>
      <c r="J40" s="17">
        <f>I40/I42*1000</f>
        <v>87.065478715881767</v>
      </c>
      <c r="K40" s="17"/>
      <c r="L40" s="17"/>
      <c r="M40" s="17">
        <v>81.98</v>
      </c>
      <c r="N40" s="17">
        <f>M40/M42*1000</f>
        <v>147.97833935018051</v>
      </c>
      <c r="O40" s="14">
        <v>0</v>
      </c>
    </row>
    <row r="41" spans="1:15" ht="18" x14ac:dyDescent="0.35">
      <c r="A41" s="14" t="s">
        <v>163</v>
      </c>
      <c r="B41" s="16" t="s">
        <v>164</v>
      </c>
      <c r="C41" s="14">
        <v>64797.58</v>
      </c>
      <c r="D41" s="14">
        <v>1446.81</v>
      </c>
      <c r="E41" s="17">
        <v>78326.247044498319</v>
      </c>
      <c r="F41" s="17">
        <v>2267.2273011983179</v>
      </c>
      <c r="G41" s="17">
        <f>G34+G36</f>
        <v>100069.13000000002</v>
      </c>
      <c r="H41" s="17">
        <f>G41/G42*1000</f>
        <v>3035.985862079428</v>
      </c>
      <c r="I41" s="17">
        <f>I34+I36</f>
        <v>30985.170000000002</v>
      </c>
      <c r="J41" s="17">
        <f>J34+J36</f>
        <v>4382.0067882901994</v>
      </c>
      <c r="K41" s="17">
        <v>1078.9100000000001</v>
      </c>
      <c r="L41" s="17">
        <v>1591.49</v>
      </c>
      <c r="M41" s="17">
        <f>M34+M36</f>
        <v>3965.8799999999997</v>
      </c>
      <c r="N41" s="17">
        <f>N34+N36</f>
        <v>7158.6281588447655</v>
      </c>
      <c r="O41" s="14">
        <v>103127.37406018477</v>
      </c>
    </row>
    <row r="42" spans="1:15" ht="15.75" customHeight="1" x14ac:dyDescent="0.35">
      <c r="A42" s="14">
        <v>9</v>
      </c>
      <c r="B42" s="16" t="s">
        <v>174</v>
      </c>
      <c r="C42" s="14">
        <v>44786.45</v>
      </c>
      <c r="D42" s="14"/>
      <c r="E42" s="17">
        <v>34547</v>
      </c>
      <c r="F42" s="17">
        <v>0</v>
      </c>
      <c r="G42" s="17">
        <v>32961</v>
      </c>
      <c r="H42" s="17" t="s">
        <v>35</v>
      </c>
      <c r="I42" s="17">
        <v>7071</v>
      </c>
      <c r="J42" s="17" t="s">
        <v>35</v>
      </c>
      <c r="K42" s="17">
        <v>678</v>
      </c>
      <c r="L42" s="17"/>
      <c r="M42" s="17">
        <v>554</v>
      </c>
      <c r="N42" s="17" t="s">
        <v>35</v>
      </c>
      <c r="O42" s="14"/>
    </row>
    <row r="43" spans="1:15" ht="18" x14ac:dyDescent="0.35">
      <c r="A43" s="14">
        <v>10</v>
      </c>
      <c r="B43" s="16" t="s">
        <v>309</v>
      </c>
      <c r="C43" s="14"/>
      <c r="D43" s="14">
        <v>1446.81</v>
      </c>
      <c r="E43" s="17">
        <v>0</v>
      </c>
      <c r="F43" s="17">
        <v>2267.2273011983179</v>
      </c>
      <c r="G43" s="17" t="s">
        <v>35</v>
      </c>
      <c r="H43" s="20">
        <f>H41</f>
        <v>3035.985862079428</v>
      </c>
      <c r="I43" s="20" t="s">
        <v>35</v>
      </c>
      <c r="J43" s="20">
        <f>J41</f>
        <v>4382.0067882901994</v>
      </c>
      <c r="K43" s="20"/>
      <c r="L43" s="20">
        <v>1591.49</v>
      </c>
      <c r="M43" s="20" t="s">
        <v>35</v>
      </c>
      <c r="N43" s="20">
        <f>N41</f>
        <v>7158.6281588447655</v>
      </c>
      <c r="O43" s="14">
        <v>0</v>
      </c>
    </row>
    <row r="44" spans="1:15" ht="18" hidden="1" x14ac:dyDescent="0.35">
      <c r="A44" s="14" t="s">
        <v>165</v>
      </c>
      <c r="B44" s="16" t="s">
        <v>166</v>
      </c>
      <c r="C44" s="14"/>
      <c r="D44" s="14">
        <v>1110.27</v>
      </c>
      <c r="E44" s="17">
        <v>49907.870589102793</v>
      </c>
      <c r="F44" s="17">
        <v>1444.6368885605928</v>
      </c>
      <c r="G44" s="17">
        <v>49907.870589102793</v>
      </c>
      <c r="H44" s="20">
        <v>1444.6368885605928</v>
      </c>
      <c r="I44" s="20">
        <v>17172.550882001957</v>
      </c>
      <c r="J44" s="20">
        <v>2452.170624304149</v>
      </c>
      <c r="K44" s="20"/>
      <c r="L44" s="20">
        <v>1110.27</v>
      </c>
      <c r="M44" s="20">
        <v>1239.0273220193383</v>
      </c>
      <c r="N44" s="20">
        <v>2452.1730605982648</v>
      </c>
      <c r="O44" s="14">
        <v>68319.448793124087</v>
      </c>
    </row>
    <row r="45" spans="1:15" ht="18" hidden="1" x14ac:dyDescent="0.35">
      <c r="A45" s="14" t="s">
        <v>167</v>
      </c>
      <c r="B45" s="16" t="s">
        <v>168</v>
      </c>
      <c r="C45" s="14"/>
      <c r="D45" s="14">
        <v>336.54</v>
      </c>
      <c r="E45" s="17">
        <v>20773.532643727402</v>
      </c>
      <c r="F45" s="17">
        <v>822.60041263772598</v>
      </c>
      <c r="G45" s="17">
        <v>20773.532643727402</v>
      </c>
      <c r="H45" s="20">
        <v>822.60041263772598</v>
      </c>
      <c r="I45" s="20">
        <v>4409.8738832322088</v>
      </c>
      <c r="J45" s="20">
        <v>851.00031730375304</v>
      </c>
      <c r="K45" s="20"/>
      <c r="L45" s="20">
        <v>481.22</v>
      </c>
      <c r="M45" s="20">
        <v>318.18108253397389</v>
      </c>
      <c r="N45" s="20">
        <v>850.99568638936944</v>
      </c>
      <c r="O45" s="14">
        <v>25501.587609493585</v>
      </c>
    </row>
    <row r="46" spans="1:15" ht="18" hidden="1" x14ac:dyDescent="0.35">
      <c r="A46" s="14" t="s">
        <v>169</v>
      </c>
      <c r="B46" s="16" t="s">
        <v>170</v>
      </c>
      <c r="C46" s="14"/>
      <c r="D46" s="14">
        <v>76.739999999999995</v>
      </c>
      <c r="E46" s="17">
        <v>63.71793935275538</v>
      </c>
      <c r="F46" s="17">
        <v>63.718220391799527</v>
      </c>
      <c r="G46" s="17">
        <v>63.71793935275538</v>
      </c>
      <c r="H46" s="20">
        <v>63.718220391799527</v>
      </c>
      <c r="I46" s="20">
        <v>74.236867169535373</v>
      </c>
      <c r="J46" s="20">
        <v>74.236867169535373</v>
      </c>
      <c r="K46" s="20"/>
      <c r="L46" s="20">
        <v>69.760000000000005</v>
      </c>
      <c r="M46" s="20">
        <v>74.236776388072371</v>
      </c>
      <c r="N46" s="20">
        <v>74.236990248668178</v>
      </c>
      <c r="O46" s="14">
        <v>66.247637366634677</v>
      </c>
    </row>
    <row r="47" spans="1:15" ht="18" hidden="1" x14ac:dyDescent="0.35">
      <c r="A47" s="14" t="s">
        <v>171</v>
      </c>
      <c r="B47" s="16" t="s">
        <v>172</v>
      </c>
      <c r="C47" s="14"/>
      <c r="D47" s="14">
        <v>23.26</v>
      </c>
      <c r="E47" s="17">
        <v>36.28206064724462</v>
      </c>
      <c r="F47" s="17">
        <v>36.281779608200473</v>
      </c>
      <c r="G47" s="17">
        <v>36.28206064724462</v>
      </c>
      <c r="H47" s="20">
        <v>36.281779608200473</v>
      </c>
      <c r="I47" s="20">
        <v>25.763132830464627</v>
      </c>
      <c r="J47" s="20">
        <v>25.763132830464627</v>
      </c>
      <c r="K47" s="20"/>
      <c r="L47" s="20">
        <v>30.24</v>
      </c>
      <c r="M47" s="20">
        <v>25.763223611927629</v>
      </c>
      <c r="N47" s="20">
        <v>25.763009751331822</v>
      </c>
      <c r="O47" s="14">
        <v>33.752362633365323</v>
      </c>
    </row>
    <row r="48" spans="1:15" ht="18.75" hidden="1" customHeight="1" x14ac:dyDescent="0.35">
      <c r="A48" s="14" t="s">
        <v>173</v>
      </c>
      <c r="B48" s="16" t="s">
        <v>174</v>
      </c>
      <c r="C48" s="14">
        <v>44786.45</v>
      </c>
      <c r="D48" s="14"/>
      <c r="E48" s="17">
        <v>34547</v>
      </c>
      <c r="F48" s="17">
        <v>0</v>
      </c>
      <c r="G48" s="17">
        <v>34547</v>
      </c>
      <c r="H48" s="20">
        <v>0</v>
      </c>
      <c r="I48" s="20">
        <v>7003</v>
      </c>
      <c r="J48" s="20">
        <v>0</v>
      </c>
      <c r="K48" s="20">
        <v>678</v>
      </c>
      <c r="L48" s="20"/>
      <c r="M48" s="20">
        <v>505.27727505376345</v>
      </c>
      <c r="N48" s="20">
        <v>0</v>
      </c>
      <c r="O48" s="14">
        <v>42055.277275053762</v>
      </c>
    </row>
    <row r="49" spans="1:15" ht="18" hidden="1" x14ac:dyDescent="0.35">
      <c r="A49" s="14" t="s">
        <v>175</v>
      </c>
      <c r="B49" s="16" t="s">
        <v>176</v>
      </c>
      <c r="C49" s="14"/>
      <c r="D49" s="14"/>
      <c r="E49" s="17">
        <v>0</v>
      </c>
      <c r="F49" s="17">
        <v>2720.6827614379818</v>
      </c>
      <c r="G49" s="17">
        <v>0</v>
      </c>
      <c r="H49" s="20">
        <v>2720.6827614379818</v>
      </c>
      <c r="I49" s="20">
        <v>0</v>
      </c>
      <c r="J49" s="20">
        <v>0</v>
      </c>
      <c r="K49" s="20"/>
      <c r="L49" s="20"/>
      <c r="M49" s="20">
        <v>0</v>
      </c>
      <c r="N49" s="20">
        <v>0</v>
      </c>
      <c r="O49" s="14"/>
    </row>
    <row r="50" spans="1:15" ht="21" customHeight="1" x14ac:dyDescent="0.35">
      <c r="A50" s="19">
        <v>11</v>
      </c>
      <c r="B50" s="16" t="s">
        <v>177</v>
      </c>
      <c r="C50" s="14"/>
      <c r="D50" s="14">
        <v>1736.17</v>
      </c>
      <c r="E50" s="17">
        <v>0</v>
      </c>
      <c r="F50" s="17">
        <v>2720.6847614379822</v>
      </c>
      <c r="G50" s="17" t="s">
        <v>35</v>
      </c>
      <c r="H50" s="20">
        <f>H43*1.2</f>
        <v>3643.1830344953137</v>
      </c>
      <c r="I50" s="20" t="s">
        <v>35</v>
      </c>
      <c r="J50" s="20">
        <f>J41*1.2</f>
        <v>5258.4081459482395</v>
      </c>
      <c r="K50" s="20"/>
      <c r="L50" s="20">
        <v>1909.79</v>
      </c>
      <c r="M50" s="20" t="s">
        <v>35</v>
      </c>
      <c r="N50" s="20">
        <f>N41*1.2+0.01</f>
        <v>8590.3637906137192</v>
      </c>
      <c r="O50" s="14">
        <v>2942.633539558235</v>
      </c>
    </row>
    <row r="51" spans="1:15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8" hidden="1" x14ac:dyDescent="0.35">
      <c r="A52" s="66" t="s">
        <v>310</v>
      </c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15"/>
    </row>
    <row r="53" spans="1:15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ht="18" x14ac:dyDescent="0.35">
      <c r="A54" s="66" t="s">
        <v>315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20">
    <mergeCell ref="F1:H1"/>
    <mergeCell ref="M1:O1"/>
    <mergeCell ref="A2:O2"/>
    <mergeCell ref="A4:A6"/>
    <mergeCell ref="B4:B6"/>
    <mergeCell ref="C4:D4"/>
    <mergeCell ref="E4:F4"/>
    <mergeCell ref="G4:H4"/>
    <mergeCell ref="I4:J4"/>
    <mergeCell ref="K4:L4"/>
    <mergeCell ref="A52:N52"/>
    <mergeCell ref="A54:N54"/>
    <mergeCell ref="M4:N4"/>
    <mergeCell ref="O4:O5"/>
    <mergeCell ref="C5:D5"/>
    <mergeCell ref="E5:F5"/>
    <mergeCell ref="G5:H5"/>
    <mergeCell ref="I5:J5"/>
    <mergeCell ref="K5:L5"/>
    <mergeCell ref="M5:N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FF9D-608B-4499-8F1C-A57562224189}">
  <dimension ref="A2:F39"/>
  <sheetViews>
    <sheetView topLeftCell="A13" workbookViewId="0">
      <selection activeCell="S6" sqref="S6"/>
    </sheetView>
  </sheetViews>
  <sheetFormatPr defaultRowHeight="14.4" x14ac:dyDescent="0.3"/>
  <cols>
    <col min="2" max="2" width="37.5546875" customWidth="1"/>
    <col min="3" max="3" width="23.6640625" customWidth="1"/>
    <col min="4" max="4" width="30.33203125" customWidth="1"/>
  </cols>
  <sheetData>
    <row r="2" spans="1:6" ht="18" x14ac:dyDescent="0.35">
      <c r="A2" s="15"/>
      <c r="B2" s="15"/>
      <c r="C2" s="15"/>
      <c r="D2" s="15"/>
      <c r="E2" s="15" t="s">
        <v>298</v>
      </c>
      <c r="F2" s="15"/>
    </row>
    <row r="3" spans="1:6" ht="18" x14ac:dyDescent="0.35">
      <c r="A3" s="15"/>
      <c r="B3" s="15"/>
      <c r="C3" s="15"/>
      <c r="D3" s="15"/>
      <c r="E3" s="15" t="s">
        <v>320</v>
      </c>
      <c r="F3" s="15"/>
    </row>
    <row r="4" spans="1:6" ht="18" x14ac:dyDescent="0.35">
      <c r="A4" s="15"/>
      <c r="B4" s="15"/>
      <c r="C4" s="15"/>
      <c r="D4" s="15"/>
      <c r="E4" s="15" t="s">
        <v>321</v>
      </c>
      <c r="F4" s="15"/>
    </row>
    <row r="5" spans="1:6" ht="18" x14ac:dyDescent="0.35">
      <c r="A5" s="15"/>
      <c r="B5" s="15"/>
      <c r="C5" s="15"/>
      <c r="D5" s="15"/>
      <c r="E5" s="15"/>
      <c r="F5" s="15"/>
    </row>
    <row r="6" spans="1:6" ht="18" x14ac:dyDescent="0.35">
      <c r="A6" s="15"/>
      <c r="B6" s="15"/>
      <c r="C6" s="15"/>
      <c r="D6" s="15"/>
      <c r="E6" s="15"/>
      <c r="F6" s="15"/>
    </row>
    <row r="7" spans="1:6" ht="18" x14ac:dyDescent="0.3">
      <c r="A7" s="22"/>
      <c r="B7" s="117" t="s">
        <v>322</v>
      </c>
      <c r="C7" s="118"/>
      <c r="D7" s="118"/>
      <c r="E7" s="118"/>
      <c r="F7" s="118"/>
    </row>
    <row r="8" spans="1:6" ht="17.399999999999999" x14ac:dyDescent="0.3">
      <c r="A8" s="119" t="s">
        <v>323</v>
      </c>
      <c r="B8" s="122" t="s">
        <v>324</v>
      </c>
      <c r="C8" s="125"/>
      <c r="D8" s="126"/>
      <c r="E8" s="126"/>
      <c r="F8" s="127"/>
    </row>
    <row r="9" spans="1:6" ht="17.399999999999999" x14ac:dyDescent="0.3">
      <c r="A9" s="120"/>
      <c r="B9" s="123"/>
      <c r="C9" s="125" t="s">
        <v>325</v>
      </c>
      <c r="D9" s="127"/>
      <c r="E9" s="125" t="s">
        <v>326</v>
      </c>
      <c r="F9" s="127"/>
    </row>
    <row r="10" spans="1:6" ht="270" x14ac:dyDescent="0.3">
      <c r="A10" s="120"/>
      <c r="B10" s="123"/>
      <c r="C10" s="23" t="s">
        <v>327</v>
      </c>
      <c r="D10" s="23" t="s">
        <v>328</v>
      </c>
      <c r="E10" s="23" t="s">
        <v>329</v>
      </c>
      <c r="F10" s="23" t="s">
        <v>330</v>
      </c>
    </row>
    <row r="11" spans="1:6" ht="36" x14ac:dyDescent="0.3">
      <c r="A11" s="121"/>
      <c r="B11" s="124"/>
      <c r="C11" s="23" t="s">
        <v>331</v>
      </c>
      <c r="D11" s="23" t="s">
        <v>332</v>
      </c>
      <c r="E11" s="23" t="s">
        <v>333</v>
      </c>
      <c r="F11" s="23" t="s">
        <v>333</v>
      </c>
    </row>
    <row r="12" spans="1:6" ht="18" x14ac:dyDescent="0.3">
      <c r="A12" s="24">
        <v>1</v>
      </c>
      <c r="B12" s="24">
        <v>2</v>
      </c>
      <c r="C12" s="23">
        <v>3</v>
      </c>
      <c r="D12" s="23">
        <v>4</v>
      </c>
      <c r="E12" s="23">
        <v>5</v>
      </c>
      <c r="F12" s="23">
        <v>6</v>
      </c>
    </row>
    <row r="13" spans="1:6" ht="90" x14ac:dyDescent="0.3">
      <c r="A13" s="25">
        <v>1</v>
      </c>
      <c r="B13" s="23" t="s">
        <v>334</v>
      </c>
      <c r="C13" s="25">
        <v>1446.81</v>
      </c>
      <c r="D13" s="25">
        <v>274.89</v>
      </c>
      <c r="E13" s="26">
        <v>111.93</v>
      </c>
      <c r="F13" s="26">
        <f>85.61</f>
        <v>85.61</v>
      </c>
    </row>
    <row r="14" spans="1:6" ht="54" x14ac:dyDescent="0.3">
      <c r="A14" s="25">
        <v>2</v>
      </c>
      <c r="B14" s="23" t="s">
        <v>335</v>
      </c>
      <c r="C14" s="25">
        <f>C15+C16</f>
        <v>4.51</v>
      </c>
      <c r="D14" s="25">
        <f>D15+D16</f>
        <v>0.85000000000000009</v>
      </c>
      <c r="E14" s="25">
        <f>E15+E16</f>
        <v>0.36</v>
      </c>
      <c r="F14" s="25">
        <f>F15+F16</f>
        <v>0.32999999999999996</v>
      </c>
    </row>
    <row r="15" spans="1:6" ht="54" x14ac:dyDescent="0.3">
      <c r="A15" s="27" t="s">
        <v>67</v>
      </c>
      <c r="B15" s="23" t="s">
        <v>148</v>
      </c>
      <c r="C15" s="25">
        <v>3.96</v>
      </c>
      <c r="D15" s="25">
        <v>0.78</v>
      </c>
      <c r="E15" s="25">
        <v>0.33</v>
      </c>
      <c r="F15" s="25">
        <v>0.3</v>
      </c>
    </row>
    <row r="16" spans="1:6" ht="36" x14ac:dyDescent="0.3">
      <c r="A16" s="27" t="s">
        <v>68</v>
      </c>
      <c r="B16" s="28" t="s">
        <v>336</v>
      </c>
      <c r="C16" s="25">
        <v>0.55000000000000004</v>
      </c>
      <c r="D16" s="25">
        <v>7.0000000000000007E-2</v>
      </c>
      <c r="E16" s="25">
        <v>0.03</v>
      </c>
      <c r="F16" s="25">
        <v>0.03</v>
      </c>
    </row>
    <row r="17" spans="1:6" ht="126" x14ac:dyDescent="0.3">
      <c r="A17" s="25">
        <v>3</v>
      </c>
      <c r="B17" s="23" t="s">
        <v>337</v>
      </c>
      <c r="C17" s="25">
        <v>0</v>
      </c>
      <c r="D17" s="25">
        <v>0</v>
      </c>
      <c r="E17" s="25">
        <v>0</v>
      </c>
      <c r="F17" s="25">
        <v>0</v>
      </c>
    </row>
    <row r="18" spans="1:6" ht="54" x14ac:dyDescent="0.3">
      <c r="A18" s="25">
        <v>2</v>
      </c>
      <c r="B18" s="23" t="s">
        <v>338</v>
      </c>
      <c r="C18" s="25">
        <v>0</v>
      </c>
      <c r="D18" s="25">
        <v>0</v>
      </c>
      <c r="E18" s="25">
        <v>15.41</v>
      </c>
      <c r="F18" s="25">
        <v>12.71</v>
      </c>
    </row>
    <row r="19" spans="1:6" ht="18" x14ac:dyDescent="0.3">
      <c r="A19" s="25">
        <v>3</v>
      </c>
      <c r="B19" s="23" t="s">
        <v>339</v>
      </c>
      <c r="C19" s="25">
        <v>0</v>
      </c>
      <c r="D19" s="25">
        <v>0</v>
      </c>
      <c r="E19" s="25">
        <v>0</v>
      </c>
      <c r="F19" s="25">
        <v>0</v>
      </c>
    </row>
    <row r="20" spans="1:6" ht="18" x14ac:dyDescent="0.3">
      <c r="A20" s="25">
        <v>4</v>
      </c>
      <c r="B20" s="23" t="s">
        <v>340</v>
      </c>
      <c r="C20" s="25">
        <f>C13+C14</f>
        <v>1451.32</v>
      </c>
      <c r="D20" s="25">
        <f>D13+D14</f>
        <v>275.74</v>
      </c>
      <c r="E20" s="26">
        <f>E13+E18</f>
        <v>127.34</v>
      </c>
      <c r="F20" s="26">
        <f>F13+F18</f>
        <v>98.32</v>
      </c>
    </row>
    <row r="21" spans="1:6" ht="18" x14ac:dyDescent="0.3">
      <c r="A21" s="25">
        <v>7</v>
      </c>
      <c r="B21" s="23" t="s">
        <v>341</v>
      </c>
      <c r="C21" s="25">
        <v>4.99</v>
      </c>
      <c r="D21" s="25">
        <v>0.94</v>
      </c>
      <c r="E21" s="25">
        <v>0.54</v>
      </c>
      <c r="F21" s="25">
        <v>0.5</v>
      </c>
    </row>
    <row r="22" spans="1:6" ht="54" x14ac:dyDescent="0.3">
      <c r="A22" s="25">
        <v>8</v>
      </c>
      <c r="B22" s="23" t="s">
        <v>342</v>
      </c>
      <c r="C22" s="25">
        <f>C20+C21</f>
        <v>1456.31</v>
      </c>
      <c r="D22" s="25">
        <f t="shared" ref="D22" si="0">D20+D21</f>
        <v>276.68</v>
      </c>
      <c r="E22" s="25">
        <f>E20+E21</f>
        <v>127.88000000000001</v>
      </c>
      <c r="F22" s="25">
        <f>F13+F14+F18+F21</f>
        <v>99.15</v>
      </c>
    </row>
    <row r="23" spans="1:6" ht="36" x14ac:dyDescent="0.3">
      <c r="A23" s="27" t="s">
        <v>343</v>
      </c>
      <c r="B23" s="23" t="s">
        <v>344</v>
      </c>
      <c r="C23" s="25">
        <v>0</v>
      </c>
      <c r="D23" s="25">
        <v>0</v>
      </c>
      <c r="E23" s="25">
        <v>0</v>
      </c>
      <c r="F23" s="25">
        <v>0</v>
      </c>
    </row>
    <row r="24" spans="1:6" ht="18" x14ac:dyDescent="0.3">
      <c r="A24" s="27" t="s">
        <v>155</v>
      </c>
      <c r="B24" s="23" t="s">
        <v>345</v>
      </c>
      <c r="C24" s="25">
        <v>0</v>
      </c>
      <c r="D24" s="25">
        <v>0</v>
      </c>
      <c r="E24" s="25">
        <v>0</v>
      </c>
      <c r="F24" s="25">
        <v>0</v>
      </c>
    </row>
    <row r="25" spans="1:6" ht="18" x14ac:dyDescent="0.3">
      <c r="A25" s="27" t="s">
        <v>157</v>
      </c>
      <c r="B25" s="23" t="s">
        <v>80</v>
      </c>
      <c r="C25" s="25">
        <v>0</v>
      </c>
      <c r="D25" s="25">
        <v>0</v>
      </c>
      <c r="E25" s="25">
        <v>0</v>
      </c>
      <c r="F25" s="25">
        <v>0</v>
      </c>
    </row>
    <row r="26" spans="1:6" ht="18" x14ac:dyDescent="0.3">
      <c r="A26" s="25">
        <v>7</v>
      </c>
      <c r="B26" s="29" t="s">
        <v>346</v>
      </c>
      <c r="C26" s="30">
        <f>C22</f>
        <v>1456.31</v>
      </c>
      <c r="D26" s="30">
        <f t="shared" ref="D26" si="1">D22</f>
        <v>276.68</v>
      </c>
      <c r="E26" s="31">
        <f>E20</f>
        <v>127.34</v>
      </c>
      <c r="F26" s="31">
        <f>F20</f>
        <v>98.32</v>
      </c>
    </row>
    <row r="27" spans="1:6" ht="18" x14ac:dyDescent="0.3">
      <c r="A27" s="25">
        <v>8</v>
      </c>
      <c r="B27" s="23" t="s">
        <v>347</v>
      </c>
      <c r="C27" s="32">
        <f>C26*20%</f>
        <v>291.262</v>
      </c>
      <c r="D27" s="32">
        <f t="shared" ref="D27" si="2">D26*20%</f>
        <v>55.336000000000006</v>
      </c>
      <c r="E27" s="32">
        <f>E26*0.2</f>
        <v>25.468000000000004</v>
      </c>
      <c r="F27" s="32">
        <f>F26*0.2</f>
        <v>19.664000000000001</v>
      </c>
    </row>
    <row r="28" spans="1:6" ht="18" x14ac:dyDescent="0.3">
      <c r="A28" s="25">
        <v>9</v>
      </c>
      <c r="B28" s="29" t="s">
        <v>348</v>
      </c>
      <c r="C28" s="33">
        <f>C26+C27</f>
        <v>1747.5719999999999</v>
      </c>
      <c r="D28" s="33">
        <f t="shared" ref="D28" si="3">D26+D27</f>
        <v>332.01600000000002</v>
      </c>
      <c r="E28" s="33">
        <f>E26+E27</f>
        <v>152.80799999999999</v>
      </c>
      <c r="F28" s="33">
        <f>F26*1.2</f>
        <v>117.98399999999998</v>
      </c>
    </row>
    <row r="29" spans="1:6" ht="72" x14ac:dyDescent="0.3">
      <c r="A29" s="25">
        <v>13</v>
      </c>
      <c r="B29" s="23" t="s">
        <v>349</v>
      </c>
      <c r="C29" s="30">
        <v>1747.57</v>
      </c>
      <c r="D29" s="33">
        <f>D28/6.25</f>
        <v>53.12256</v>
      </c>
      <c r="E29" s="30" t="s">
        <v>35</v>
      </c>
      <c r="F29" s="34" t="s">
        <v>35</v>
      </c>
    </row>
    <row r="30" spans="1:6" ht="36" x14ac:dyDescent="0.3">
      <c r="A30" s="25">
        <v>14</v>
      </c>
      <c r="B30" s="23" t="s">
        <v>350</v>
      </c>
      <c r="C30" s="25">
        <v>190</v>
      </c>
      <c r="D30" s="25">
        <v>190</v>
      </c>
      <c r="E30" s="25" t="s">
        <v>35</v>
      </c>
      <c r="F30" s="25"/>
    </row>
    <row r="31" spans="1:6" ht="18" x14ac:dyDescent="0.3">
      <c r="A31" s="22"/>
      <c r="B31" s="22"/>
      <c r="C31" s="22"/>
      <c r="D31" s="22"/>
      <c r="E31" s="22"/>
      <c r="F31" s="22"/>
    </row>
    <row r="32" spans="1:6" ht="18" x14ac:dyDescent="0.3">
      <c r="A32" s="22"/>
      <c r="B32" s="22"/>
      <c r="C32" s="22"/>
      <c r="D32" s="22"/>
      <c r="E32" s="22"/>
      <c r="F32" s="22"/>
    </row>
    <row r="33" spans="1:6" ht="18" x14ac:dyDescent="0.3">
      <c r="A33" s="22"/>
      <c r="B33" s="22"/>
      <c r="C33" s="22"/>
      <c r="D33" s="22"/>
      <c r="E33" s="22"/>
      <c r="F33" s="22"/>
    </row>
    <row r="34" spans="1:6" ht="18" x14ac:dyDescent="0.3">
      <c r="A34" s="35"/>
      <c r="B34" s="36" t="s">
        <v>351</v>
      </c>
      <c r="C34" s="36"/>
      <c r="D34" s="36"/>
      <c r="E34" s="36"/>
      <c r="F34" s="36"/>
    </row>
    <row r="35" spans="1:6" ht="15.6" x14ac:dyDescent="0.3">
      <c r="A35" s="37"/>
      <c r="B35" s="37"/>
      <c r="C35" s="37"/>
      <c r="D35" s="37"/>
      <c r="E35" s="37"/>
      <c r="F35" s="37"/>
    </row>
    <row r="36" spans="1:6" ht="15.6" x14ac:dyDescent="0.3">
      <c r="A36" s="37"/>
      <c r="B36" s="37"/>
      <c r="C36" s="37"/>
      <c r="D36" s="37"/>
      <c r="E36" s="37"/>
      <c r="F36" s="37"/>
    </row>
    <row r="37" spans="1:6" ht="15.6" x14ac:dyDescent="0.3">
      <c r="A37" s="37"/>
      <c r="B37" s="116"/>
      <c r="C37" s="116"/>
      <c r="D37" s="116"/>
      <c r="E37" s="116"/>
      <c r="F37" s="116"/>
    </row>
    <row r="38" spans="1:6" ht="15.6" x14ac:dyDescent="0.3">
      <c r="A38" s="37"/>
      <c r="B38" s="37"/>
      <c r="C38" s="37"/>
      <c r="D38" s="37"/>
      <c r="E38" s="37"/>
      <c r="F38" s="37"/>
    </row>
    <row r="39" spans="1:6" ht="15.6" x14ac:dyDescent="0.3">
      <c r="A39" s="37"/>
      <c r="B39" s="37"/>
      <c r="C39" s="37"/>
      <c r="D39" s="37"/>
      <c r="E39" s="37"/>
      <c r="F39" s="37"/>
    </row>
  </sheetData>
  <mergeCells count="7">
    <mergeCell ref="B37:F37"/>
    <mergeCell ref="B7:F7"/>
    <mergeCell ref="A8:A11"/>
    <mergeCell ref="B8:B11"/>
    <mergeCell ref="C8:F8"/>
    <mergeCell ref="C9:D9"/>
    <mergeCell ref="E9:F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3C2F8-7AEC-4282-8E7D-8C68961BD49C}">
  <dimension ref="A2:F39"/>
  <sheetViews>
    <sheetView topLeftCell="A10" workbookViewId="0">
      <selection activeCell="S6" sqref="S6"/>
    </sheetView>
  </sheetViews>
  <sheetFormatPr defaultRowHeight="14.4" x14ac:dyDescent="0.3"/>
  <cols>
    <col min="2" max="2" width="37.5546875" customWidth="1"/>
    <col min="3" max="3" width="23.6640625" customWidth="1"/>
    <col min="4" max="4" width="30.33203125" customWidth="1"/>
  </cols>
  <sheetData>
    <row r="2" spans="1:6" ht="18" x14ac:dyDescent="0.35">
      <c r="A2" s="15"/>
      <c r="B2" s="15"/>
      <c r="C2" s="15"/>
      <c r="D2" s="15"/>
      <c r="E2" s="15" t="s">
        <v>298</v>
      </c>
      <c r="F2" s="15"/>
    </row>
    <row r="3" spans="1:6" ht="18" x14ac:dyDescent="0.35">
      <c r="A3" s="15"/>
      <c r="B3" s="15"/>
      <c r="C3" s="15"/>
      <c r="D3" s="15"/>
      <c r="E3" s="15" t="s">
        <v>320</v>
      </c>
      <c r="F3" s="15"/>
    </row>
    <row r="4" spans="1:6" ht="18" x14ac:dyDescent="0.35">
      <c r="A4" s="15"/>
      <c r="B4" s="15"/>
      <c r="C4" s="15"/>
      <c r="D4" s="15"/>
      <c r="E4" s="15" t="s">
        <v>321</v>
      </c>
      <c r="F4" s="15"/>
    </row>
    <row r="5" spans="1:6" ht="18" x14ac:dyDescent="0.35">
      <c r="A5" s="15"/>
      <c r="B5" s="15"/>
      <c r="C5" s="15"/>
      <c r="D5" s="15"/>
      <c r="E5" s="15"/>
      <c r="F5" s="15"/>
    </row>
    <row r="6" spans="1:6" ht="18" x14ac:dyDescent="0.35">
      <c r="A6" s="15"/>
      <c r="B6" s="15"/>
      <c r="C6" s="15"/>
      <c r="D6" s="15"/>
      <c r="E6" s="15"/>
      <c r="F6" s="15"/>
    </row>
    <row r="7" spans="1:6" ht="18" x14ac:dyDescent="0.3">
      <c r="A7" s="22"/>
      <c r="B7" s="117" t="s">
        <v>322</v>
      </c>
      <c r="C7" s="118"/>
      <c r="D7" s="118"/>
      <c r="E7" s="118"/>
      <c r="F7" s="118"/>
    </row>
    <row r="8" spans="1:6" ht="17.399999999999999" x14ac:dyDescent="0.3">
      <c r="A8" s="119" t="s">
        <v>323</v>
      </c>
      <c r="B8" s="122" t="s">
        <v>324</v>
      </c>
      <c r="C8" s="125"/>
      <c r="D8" s="126"/>
      <c r="E8" s="126"/>
      <c r="F8" s="127"/>
    </row>
    <row r="9" spans="1:6" ht="17.399999999999999" x14ac:dyDescent="0.3">
      <c r="A9" s="120"/>
      <c r="B9" s="123"/>
      <c r="C9" s="125" t="s">
        <v>325</v>
      </c>
      <c r="D9" s="127"/>
      <c r="E9" s="125" t="s">
        <v>326</v>
      </c>
      <c r="F9" s="127"/>
    </row>
    <row r="10" spans="1:6" ht="270" x14ac:dyDescent="0.3">
      <c r="A10" s="120"/>
      <c r="B10" s="123"/>
      <c r="C10" s="23" t="s">
        <v>327</v>
      </c>
      <c r="D10" s="23" t="s">
        <v>328</v>
      </c>
      <c r="E10" s="23" t="s">
        <v>329</v>
      </c>
      <c r="F10" s="23" t="s">
        <v>330</v>
      </c>
    </row>
    <row r="11" spans="1:6" ht="36" x14ac:dyDescent="0.3">
      <c r="A11" s="121"/>
      <c r="B11" s="124"/>
      <c r="C11" s="23" t="s">
        <v>331</v>
      </c>
      <c r="D11" s="23" t="s">
        <v>332</v>
      </c>
      <c r="E11" s="23" t="s">
        <v>333</v>
      </c>
      <c r="F11" s="23" t="s">
        <v>333</v>
      </c>
    </row>
    <row r="12" spans="1:6" ht="18" x14ac:dyDescent="0.3">
      <c r="A12" s="24">
        <v>1</v>
      </c>
      <c r="B12" s="24">
        <v>2</v>
      </c>
      <c r="C12" s="23">
        <v>3</v>
      </c>
      <c r="D12" s="23">
        <v>4</v>
      </c>
      <c r="E12" s="23">
        <v>5</v>
      </c>
      <c r="F12" s="23">
        <v>6</v>
      </c>
    </row>
    <row r="13" spans="1:6" ht="90" x14ac:dyDescent="0.3">
      <c r="A13" s="25">
        <v>1</v>
      </c>
      <c r="B13" s="23" t="s">
        <v>334</v>
      </c>
      <c r="C13" s="25">
        <v>1446.81</v>
      </c>
      <c r="D13" s="25">
        <v>274.89</v>
      </c>
      <c r="E13" s="26">
        <v>111.93</v>
      </c>
      <c r="F13" s="26">
        <f>85.61</f>
        <v>85.61</v>
      </c>
    </row>
    <row r="14" spans="1:6" ht="54" x14ac:dyDescent="0.3">
      <c r="A14" s="25">
        <v>2</v>
      </c>
      <c r="B14" s="23" t="s">
        <v>335</v>
      </c>
      <c r="C14" s="25">
        <f>C15+C16</f>
        <v>4.51</v>
      </c>
      <c r="D14" s="25">
        <f>D15+D16</f>
        <v>0.85000000000000009</v>
      </c>
      <c r="E14" s="25">
        <f>E15+E16</f>
        <v>0.36</v>
      </c>
      <c r="F14" s="25">
        <f>F15+F16</f>
        <v>0.32999999999999996</v>
      </c>
    </row>
    <row r="15" spans="1:6" ht="54" x14ac:dyDescent="0.3">
      <c r="A15" s="27" t="s">
        <v>67</v>
      </c>
      <c r="B15" s="23" t="s">
        <v>148</v>
      </c>
      <c r="C15" s="25">
        <v>3.96</v>
      </c>
      <c r="D15" s="25">
        <v>0.78</v>
      </c>
      <c r="E15" s="25">
        <v>0.33</v>
      </c>
      <c r="F15" s="25">
        <v>0.3</v>
      </c>
    </row>
    <row r="16" spans="1:6" ht="36" x14ac:dyDescent="0.3">
      <c r="A16" s="27" t="s">
        <v>68</v>
      </c>
      <c r="B16" s="28" t="s">
        <v>336</v>
      </c>
      <c r="C16" s="25">
        <v>0.55000000000000004</v>
      </c>
      <c r="D16" s="25">
        <v>7.0000000000000007E-2</v>
      </c>
      <c r="E16" s="25">
        <v>0.03</v>
      </c>
      <c r="F16" s="25">
        <v>0.03</v>
      </c>
    </row>
    <row r="17" spans="1:6" ht="126" x14ac:dyDescent="0.3">
      <c r="A17" s="25">
        <v>3</v>
      </c>
      <c r="B17" s="23" t="s">
        <v>337</v>
      </c>
      <c r="C17" s="25">
        <v>0</v>
      </c>
      <c r="D17" s="25">
        <v>0</v>
      </c>
      <c r="E17" s="25">
        <v>0</v>
      </c>
      <c r="F17" s="25">
        <v>0</v>
      </c>
    </row>
    <row r="18" spans="1:6" ht="54" x14ac:dyDescent="0.3">
      <c r="A18" s="25">
        <v>2</v>
      </c>
      <c r="B18" s="23" t="s">
        <v>338</v>
      </c>
      <c r="C18" s="25">
        <v>0</v>
      </c>
      <c r="D18" s="25">
        <v>0</v>
      </c>
      <c r="E18" s="25">
        <v>15.41</v>
      </c>
      <c r="F18" s="25">
        <v>12.71</v>
      </c>
    </row>
    <row r="19" spans="1:6" ht="18" x14ac:dyDescent="0.3">
      <c r="A19" s="25">
        <v>3</v>
      </c>
      <c r="B19" s="23" t="s">
        <v>339</v>
      </c>
      <c r="C19" s="25">
        <v>0</v>
      </c>
      <c r="D19" s="25">
        <v>0</v>
      </c>
      <c r="E19" s="25">
        <v>0</v>
      </c>
      <c r="F19" s="25">
        <v>0</v>
      </c>
    </row>
    <row r="20" spans="1:6" ht="18" x14ac:dyDescent="0.3">
      <c r="A20" s="25">
        <v>4</v>
      </c>
      <c r="B20" s="23" t="s">
        <v>340</v>
      </c>
      <c r="C20" s="25">
        <f>C13+C14</f>
        <v>1451.32</v>
      </c>
      <c r="D20" s="25">
        <f>D13+D14</f>
        <v>275.74</v>
      </c>
      <c r="E20" s="26">
        <f>E13+E18</f>
        <v>127.34</v>
      </c>
      <c r="F20" s="26">
        <f>F13+F18</f>
        <v>98.32</v>
      </c>
    </row>
    <row r="21" spans="1:6" ht="18" x14ac:dyDescent="0.3">
      <c r="A21" s="25">
        <v>7</v>
      </c>
      <c r="B21" s="23" t="s">
        <v>341</v>
      </c>
      <c r="C21" s="25">
        <v>4.99</v>
      </c>
      <c r="D21" s="25">
        <v>0.94</v>
      </c>
      <c r="E21" s="25">
        <v>0.54</v>
      </c>
      <c r="F21" s="25">
        <v>0.5</v>
      </c>
    </row>
    <row r="22" spans="1:6" ht="54" x14ac:dyDescent="0.3">
      <c r="A22" s="25">
        <v>8</v>
      </c>
      <c r="B22" s="23" t="s">
        <v>342</v>
      </c>
      <c r="C22" s="25">
        <f>C20+C21</f>
        <v>1456.31</v>
      </c>
      <c r="D22" s="25">
        <f t="shared" ref="D22" si="0">D20+D21</f>
        <v>276.68</v>
      </c>
      <c r="E22" s="25">
        <f>E20+E21</f>
        <v>127.88000000000001</v>
      </c>
      <c r="F22" s="25">
        <f>F13+F14+F18+F21</f>
        <v>99.15</v>
      </c>
    </row>
    <row r="23" spans="1:6" ht="36" x14ac:dyDescent="0.3">
      <c r="A23" s="27" t="s">
        <v>343</v>
      </c>
      <c r="B23" s="23" t="s">
        <v>344</v>
      </c>
      <c r="C23" s="25">
        <v>0</v>
      </c>
      <c r="D23" s="25">
        <v>0</v>
      </c>
      <c r="E23" s="25">
        <v>0</v>
      </c>
      <c r="F23" s="25">
        <v>0</v>
      </c>
    </row>
    <row r="24" spans="1:6" ht="18" x14ac:dyDescent="0.3">
      <c r="A24" s="27" t="s">
        <v>155</v>
      </c>
      <c r="B24" s="23" t="s">
        <v>345</v>
      </c>
      <c r="C24" s="25">
        <v>0</v>
      </c>
      <c r="D24" s="25">
        <v>0</v>
      </c>
      <c r="E24" s="25">
        <v>0</v>
      </c>
      <c r="F24" s="25">
        <v>0</v>
      </c>
    </row>
    <row r="25" spans="1:6" ht="18" x14ac:dyDescent="0.3">
      <c r="A25" s="27" t="s">
        <v>157</v>
      </c>
      <c r="B25" s="23" t="s">
        <v>80</v>
      </c>
      <c r="C25" s="25">
        <v>0</v>
      </c>
      <c r="D25" s="25">
        <v>0</v>
      </c>
      <c r="E25" s="25">
        <v>0</v>
      </c>
      <c r="F25" s="25">
        <v>0</v>
      </c>
    </row>
    <row r="26" spans="1:6" ht="18" x14ac:dyDescent="0.3">
      <c r="A26" s="25">
        <v>7</v>
      </c>
      <c r="B26" s="29" t="s">
        <v>346</v>
      </c>
      <c r="C26" s="30">
        <f>C22</f>
        <v>1456.31</v>
      </c>
      <c r="D26" s="30">
        <f t="shared" ref="D26" si="1">D22</f>
        <v>276.68</v>
      </c>
      <c r="E26" s="31">
        <f>E20</f>
        <v>127.34</v>
      </c>
      <c r="F26" s="31">
        <f>F20</f>
        <v>98.32</v>
      </c>
    </row>
    <row r="27" spans="1:6" ht="18" x14ac:dyDescent="0.3">
      <c r="A27" s="25">
        <v>8</v>
      </c>
      <c r="B27" s="23" t="s">
        <v>347</v>
      </c>
      <c r="C27" s="32">
        <f>C26*20%</f>
        <v>291.262</v>
      </c>
      <c r="D27" s="32">
        <f t="shared" ref="D27" si="2">D26*20%</f>
        <v>55.336000000000006</v>
      </c>
      <c r="E27" s="32">
        <f>E26*0.2</f>
        <v>25.468000000000004</v>
      </c>
      <c r="F27" s="32">
        <f>F26*0.2</f>
        <v>19.664000000000001</v>
      </c>
    </row>
    <row r="28" spans="1:6" ht="18" x14ac:dyDescent="0.3">
      <c r="A28" s="25">
        <v>9</v>
      </c>
      <c r="B28" s="29" t="s">
        <v>348</v>
      </c>
      <c r="C28" s="33">
        <f>C26+C27</f>
        <v>1747.5719999999999</v>
      </c>
      <c r="D28" s="33">
        <f t="shared" ref="D28" si="3">D26+D27</f>
        <v>332.01600000000002</v>
      </c>
      <c r="E28" s="33">
        <f>E26+E27</f>
        <v>152.80799999999999</v>
      </c>
      <c r="F28" s="33">
        <f>F26*1.2</f>
        <v>117.98399999999998</v>
      </c>
    </row>
    <row r="29" spans="1:6" ht="72" x14ac:dyDescent="0.3">
      <c r="A29" s="25">
        <v>13</v>
      </c>
      <c r="B29" s="23" t="s">
        <v>349</v>
      </c>
      <c r="C29" s="30">
        <v>1747.57</v>
      </c>
      <c r="D29" s="33">
        <f>D28/6.25</f>
        <v>53.12256</v>
      </c>
      <c r="E29" s="30" t="s">
        <v>35</v>
      </c>
      <c r="F29" s="34" t="s">
        <v>35</v>
      </c>
    </row>
    <row r="30" spans="1:6" ht="36" x14ac:dyDescent="0.3">
      <c r="A30" s="25">
        <v>14</v>
      </c>
      <c r="B30" s="23" t="s">
        <v>350</v>
      </c>
      <c r="C30" s="25">
        <v>190</v>
      </c>
      <c r="D30" s="25">
        <v>190</v>
      </c>
      <c r="E30" s="25" t="s">
        <v>35</v>
      </c>
      <c r="F30" s="25"/>
    </row>
    <row r="31" spans="1:6" ht="18" x14ac:dyDescent="0.3">
      <c r="A31" s="22"/>
      <c r="B31" s="22"/>
      <c r="C31" s="22"/>
      <c r="D31" s="22"/>
      <c r="E31" s="22"/>
      <c r="F31" s="22"/>
    </row>
    <row r="32" spans="1:6" ht="18" x14ac:dyDescent="0.3">
      <c r="A32" s="22"/>
      <c r="B32" s="22"/>
      <c r="C32" s="22"/>
      <c r="D32" s="22"/>
      <c r="E32" s="22"/>
      <c r="F32" s="22"/>
    </row>
    <row r="33" spans="1:6" ht="18" x14ac:dyDescent="0.3">
      <c r="A33" s="22"/>
      <c r="B33" s="22"/>
      <c r="C33" s="22"/>
      <c r="D33" s="22"/>
      <c r="E33" s="22"/>
      <c r="F33" s="22"/>
    </row>
    <row r="34" spans="1:6" ht="18" x14ac:dyDescent="0.3">
      <c r="A34" s="35"/>
      <c r="B34" s="36" t="s">
        <v>351</v>
      </c>
      <c r="C34" s="36"/>
      <c r="D34" s="36"/>
      <c r="E34" s="36"/>
      <c r="F34" s="36"/>
    </row>
    <row r="35" spans="1:6" ht="15.6" x14ac:dyDescent="0.3">
      <c r="A35" s="37"/>
      <c r="B35" s="37"/>
      <c r="C35" s="37"/>
      <c r="D35" s="37"/>
      <c r="E35" s="37"/>
      <c r="F35" s="37"/>
    </row>
    <row r="36" spans="1:6" ht="15.6" x14ac:dyDescent="0.3">
      <c r="A36" s="37"/>
      <c r="B36" s="37"/>
      <c r="C36" s="37"/>
      <c r="D36" s="37"/>
      <c r="E36" s="37"/>
      <c r="F36" s="37"/>
    </row>
    <row r="37" spans="1:6" ht="15.6" x14ac:dyDescent="0.3">
      <c r="A37" s="37"/>
      <c r="B37" s="116"/>
      <c r="C37" s="116"/>
      <c r="D37" s="116"/>
      <c r="E37" s="116"/>
      <c r="F37" s="116"/>
    </row>
    <row r="38" spans="1:6" ht="15.6" x14ac:dyDescent="0.3">
      <c r="A38" s="37"/>
      <c r="B38" s="37"/>
      <c r="C38" s="37"/>
      <c r="D38" s="37"/>
      <c r="E38" s="37"/>
      <c r="F38" s="37"/>
    </row>
    <row r="39" spans="1:6" ht="15.6" x14ac:dyDescent="0.3">
      <c r="A39" s="37"/>
      <c r="B39" s="37"/>
      <c r="C39" s="37"/>
      <c r="D39" s="37"/>
      <c r="E39" s="37"/>
      <c r="F39" s="37"/>
    </row>
  </sheetData>
  <mergeCells count="7">
    <mergeCell ref="B37:F37"/>
    <mergeCell ref="B7:F7"/>
    <mergeCell ref="A8:A11"/>
    <mergeCell ref="B8:B11"/>
    <mergeCell ref="C8:F8"/>
    <mergeCell ref="C9:D9"/>
    <mergeCell ref="E9:F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BA047-1C1A-455A-824B-54D101FC0544}">
  <sheetPr>
    <pageSetUpPr fitToPage="1"/>
  </sheetPr>
  <dimension ref="A2:G35"/>
  <sheetViews>
    <sheetView workbookViewId="0">
      <selection activeCell="F13" sqref="F13"/>
    </sheetView>
  </sheetViews>
  <sheetFormatPr defaultRowHeight="14.4" x14ac:dyDescent="0.3"/>
  <cols>
    <col min="3" max="3" width="47.109375" customWidth="1"/>
    <col min="4" max="4" width="0.109375" customWidth="1"/>
    <col min="5" max="5" width="30" hidden="1" customWidth="1"/>
    <col min="6" max="6" width="27.44140625" customWidth="1"/>
    <col min="7" max="7" width="26.44140625" customWidth="1"/>
  </cols>
  <sheetData>
    <row r="2" spans="2:7" ht="18" x14ac:dyDescent="0.35">
      <c r="B2" s="15"/>
      <c r="C2" s="15"/>
      <c r="D2" s="15"/>
      <c r="E2" s="15"/>
      <c r="F2" s="15" t="s">
        <v>298</v>
      </c>
      <c r="G2" s="15"/>
    </row>
    <row r="3" spans="2:7" ht="18" x14ac:dyDescent="0.35">
      <c r="B3" s="15"/>
      <c r="C3" s="15"/>
      <c r="D3" s="15"/>
      <c r="E3" s="15"/>
      <c r="F3" s="15" t="s">
        <v>320</v>
      </c>
      <c r="G3" s="15"/>
    </row>
    <row r="4" spans="2:7" ht="18" x14ac:dyDescent="0.35">
      <c r="B4" s="15"/>
      <c r="C4" s="15"/>
      <c r="D4" s="15"/>
      <c r="E4" s="15"/>
      <c r="F4" s="15" t="s">
        <v>321</v>
      </c>
      <c r="G4" s="15"/>
    </row>
    <row r="5" spans="2:7" ht="18" x14ac:dyDescent="0.35">
      <c r="B5" s="15"/>
      <c r="C5" s="15"/>
      <c r="D5" s="15"/>
      <c r="E5" s="15"/>
      <c r="F5" s="15"/>
      <c r="G5" s="15"/>
    </row>
    <row r="6" spans="2:7" ht="18" x14ac:dyDescent="0.35">
      <c r="B6" s="15"/>
      <c r="C6" s="15"/>
      <c r="D6" s="15"/>
      <c r="E6" s="15"/>
      <c r="F6" s="15"/>
      <c r="G6" s="15"/>
    </row>
    <row r="7" spans="2:7" ht="14.25" customHeight="1" x14ac:dyDescent="0.3">
      <c r="B7" s="22"/>
      <c r="C7" s="117" t="s">
        <v>322</v>
      </c>
      <c r="D7" s="118"/>
      <c r="E7" s="118"/>
      <c r="F7" s="118"/>
      <c r="G7" s="118"/>
    </row>
    <row r="8" spans="2:7" ht="3.75" customHeight="1" x14ac:dyDescent="0.3">
      <c r="B8" s="119" t="s">
        <v>323</v>
      </c>
      <c r="C8" s="122" t="s">
        <v>324</v>
      </c>
      <c r="D8" s="125"/>
      <c r="E8" s="126"/>
      <c r="F8" s="126"/>
      <c r="G8" s="127"/>
    </row>
    <row r="9" spans="2:7" ht="44.25" customHeight="1" x14ac:dyDescent="0.3">
      <c r="B9" s="120"/>
      <c r="C9" s="123"/>
      <c r="D9" s="125" t="s">
        <v>325</v>
      </c>
      <c r="E9" s="127"/>
      <c r="F9" s="125" t="s">
        <v>326</v>
      </c>
      <c r="G9" s="127"/>
    </row>
    <row r="10" spans="2:7" ht="117" customHeight="1" x14ac:dyDescent="0.3">
      <c r="B10" s="120"/>
      <c r="C10" s="123"/>
      <c r="D10" s="23" t="s">
        <v>327</v>
      </c>
      <c r="E10" s="23" t="s">
        <v>328</v>
      </c>
      <c r="F10" s="23" t="s">
        <v>329</v>
      </c>
      <c r="G10" s="23" t="s">
        <v>330</v>
      </c>
    </row>
    <row r="11" spans="2:7" ht="22.5" customHeight="1" x14ac:dyDescent="0.3">
      <c r="B11" s="121"/>
      <c r="C11" s="124"/>
      <c r="D11" s="23" t="s">
        <v>331</v>
      </c>
      <c r="E11" s="23" t="s">
        <v>332</v>
      </c>
      <c r="F11" s="23" t="s">
        <v>333</v>
      </c>
      <c r="G11" s="23" t="s">
        <v>333</v>
      </c>
    </row>
    <row r="12" spans="2:7" ht="18" x14ac:dyDescent="0.3">
      <c r="B12" s="24">
        <v>1</v>
      </c>
      <c r="C12" s="24">
        <v>2</v>
      </c>
      <c r="D12" s="23">
        <v>3</v>
      </c>
      <c r="E12" s="23">
        <v>4</v>
      </c>
      <c r="F12" s="23">
        <v>5</v>
      </c>
      <c r="G12" s="23">
        <v>6</v>
      </c>
    </row>
    <row r="13" spans="2:7" ht="75.75" customHeight="1" x14ac:dyDescent="0.3">
      <c r="B13" s="25">
        <v>1</v>
      </c>
      <c r="C13" s="38" t="s">
        <v>334</v>
      </c>
      <c r="D13" s="25">
        <v>1446.81</v>
      </c>
      <c r="E13" s="25">
        <v>274.89</v>
      </c>
      <c r="F13" s="26">
        <v>111.93</v>
      </c>
      <c r="G13" s="26">
        <f>85.61</f>
        <v>85.61</v>
      </c>
    </row>
    <row r="14" spans="2:7" ht="0.75" hidden="1" customHeight="1" x14ac:dyDescent="0.3">
      <c r="B14" s="25">
        <v>2</v>
      </c>
      <c r="C14" s="38" t="s">
        <v>335</v>
      </c>
      <c r="D14" s="25">
        <f>D15+D16</f>
        <v>4.51</v>
      </c>
      <c r="E14" s="25">
        <f>E15+E16</f>
        <v>0.85000000000000009</v>
      </c>
      <c r="F14" s="25">
        <f>F15+F16</f>
        <v>0.36</v>
      </c>
      <c r="G14" s="25">
        <f>G15+G16</f>
        <v>0.32999999999999996</v>
      </c>
    </row>
    <row r="15" spans="2:7" ht="83.25" hidden="1" customHeight="1" x14ac:dyDescent="0.3">
      <c r="B15" s="27" t="s">
        <v>67</v>
      </c>
      <c r="C15" s="38" t="s">
        <v>148</v>
      </c>
      <c r="D15" s="25">
        <v>3.96</v>
      </c>
      <c r="E15" s="25">
        <v>0.78</v>
      </c>
      <c r="F15" s="25">
        <v>0.33</v>
      </c>
      <c r="G15" s="25">
        <v>0.3</v>
      </c>
    </row>
    <row r="16" spans="2:7" ht="66" hidden="1" customHeight="1" x14ac:dyDescent="0.3">
      <c r="B16" s="27" t="s">
        <v>68</v>
      </c>
      <c r="C16" s="39" t="s">
        <v>336</v>
      </c>
      <c r="D16" s="25">
        <v>0.55000000000000004</v>
      </c>
      <c r="E16" s="25">
        <v>7.0000000000000007E-2</v>
      </c>
      <c r="F16" s="25">
        <v>0.03</v>
      </c>
      <c r="G16" s="25">
        <v>0.03</v>
      </c>
    </row>
    <row r="17" spans="2:7" ht="156.75" hidden="1" customHeight="1" x14ac:dyDescent="0.3">
      <c r="B17" s="25">
        <v>3</v>
      </c>
      <c r="C17" s="38" t="s">
        <v>337</v>
      </c>
      <c r="D17" s="25">
        <v>0</v>
      </c>
      <c r="E17" s="25">
        <v>0</v>
      </c>
      <c r="F17" s="25">
        <v>0</v>
      </c>
      <c r="G17" s="25">
        <v>0</v>
      </c>
    </row>
    <row r="18" spans="2:7" ht="55.5" customHeight="1" x14ac:dyDescent="0.3">
      <c r="B18" s="25">
        <v>2</v>
      </c>
      <c r="C18" s="38" t="s">
        <v>338</v>
      </c>
      <c r="D18" s="25">
        <v>0</v>
      </c>
      <c r="E18" s="25">
        <v>0</v>
      </c>
      <c r="F18" s="25">
        <v>15.41</v>
      </c>
      <c r="G18" s="25">
        <v>12.71</v>
      </c>
    </row>
    <row r="19" spans="2:7" ht="23.25" customHeight="1" x14ac:dyDescent="0.3">
      <c r="B19" s="25">
        <v>3</v>
      </c>
      <c r="C19" s="38" t="s">
        <v>339</v>
      </c>
      <c r="D19" s="25">
        <v>0</v>
      </c>
      <c r="E19" s="25">
        <v>0</v>
      </c>
      <c r="F19" s="25">
        <v>0</v>
      </c>
      <c r="G19" s="25">
        <v>0</v>
      </c>
    </row>
    <row r="20" spans="2:7" ht="1.5" hidden="1" customHeight="1" x14ac:dyDescent="0.3">
      <c r="B20" s="25">
        <v>4</v>
      </c>
      <c r="C20" s="38" t="s">
        <v>340</v>
      </c>
      <c r="D20" s="25">
        <f>D13+D14</f>
        <v>1451.32</v>
      </c>
      <c r="E20" s="25">
        <f>E13+E14</f>
        <v>275.74</v>
      </c>
      <c r="F20" s="26">
        <f>F13+F18</f>
        <v>127.34</v>
      </c>
      <c r="G20" s="26">
        <f>G13+G18</f>
        <v>98.32</v>
      </c>
    </row>
    <row r="21" spans="2:7" ht="18" hidden="1" x14ac:dyDescent="0.3">
      <c r="B21" s="25">
        <v>7</v>
      </c>
      <c r="C21" s="38" t="s">
        <v>341</v>
      </c>
      <c r="D21" s="25">
        <v>4.99</v>
      </c>
      <c r="E21" s="25">
        <v>0.94</v>
      </c>
      <c r="F21" s="25">
        <v>0.54</v>
      </c>
      <c r="G21" s="25">
        <v>0.5</v>
      </c>
    </row>
    <row r="22" spans="2:7" ht="61.5" hidden="1" customHeight="1" x14ac:dyDescent="0.3">
      <c r="B22" s="25">
        <v>8</v>
      </c>
      <c r="C22" s="38" t="s">
        <v>342</v>
      </c>
      <c r="D22" s="25">
        <f>D20+D21</f>
        <v>1456.31</v>
      </c>
      <c r="E22" s="25">
        <f t="shared" ref="E22" si="0">E20+E21</f>
        <v>276.68</v>
      </c>
      <c r="F22" s="25">
        <f>F20+F21</f>
        <v>127.88000000000001</v>
      </c>
      <c r="G22" s="25">
        <f>G13+G14+G18+G21</f>
        <v>99.15</v>
      </c>
    </row>
    <row r="23" spans="2:7" ht="40.5" customHeight="1" x14ac:dyDescent="0.3">
      <c r="B23" s="27" t="s">
        <v>155</v>
      </c>
      <c r="C23" s="38" t="s">
        <v>344</v>
      </c>
      <c r="D23" s="25">
        <v>0</v>
      </c>
      <c r="E23" s="25">
        <v>0</v>
      </c>
      <c r="F23" s="25">
        <v>0</v>
      </c>
      <c r="G23" s="25">
        <v>0</v>
      </c>
    </row>
    <row r="24" spans="2:7" ht="20.25" customHeight="1" x14ac:dyDescent="0.3">
      <c r="B24" s="27" t="s">
        <v>352</v>
      </c>
      <c r="C24" s="38" t="s">
        <v>345</v>
      </c>
      <c r="D24" s="25">
        <v>0</v>
      </c>
      <c r="E24" s="25">
        <v>0</v>
      </c>
      <c r="F24" s="25">
        <v>0</v>
      </c>
      <c r="G24" s="25">
        <v>0</v>
      </c>
    </row>
    <row r="25" spans="2:7" ht="25.5" customHeight="1" x14ac:dyDescent="0.3">
      <c r="B25" s="27" t="s">
        <v>353</v>
      </c>
      <c r="C25" s="38" t="s">
        <v>80</v>
      </c>
      <c r="D25" s="25">
        <v>0</v>
      </c>
      <c r="E25" s="25">
        <v>0</v>
      </c>
      <c r="F25" s="25">
        <v>0</v>
      </c>
      <c r="G25" s="25">
        <v>0</v>
      </c>
    </row>
    <row r="26" spans="2:7" ht="20.25" customHeight="1" x14ac:dyDescent="0.3">
      <c r="B26" s="25">
        <v>6</v>
      </c>
      <c r="C26" s="40" t="s">
        <v>354</v>
      </c>
      <c r="D26" s="30">
        <f>D22</f>
        <v>1456.31</v>
      </c>
      <c r="E26" s="30">
        <f t="shared" ref="E26" si="1">E22</f>
        <v>276.68</v>
      </c>
      <c r="F26" s="31">
        <f>F20</f>
        <v>127.34</v>
      </c>
      <c r="G26" s="31">
        <f>G20</f>
        <v>98.32</v>
      </c>
    </row>
    <row r="27" spans="2:7" ht="27.75" customHeight="1" x14ac:dyDescent="0.3">
      <c r="B27" s="25">
        <v>7</v>
      </c>
      <c r="C27" s="38" t="s">
        <v>347</v>
      </c>
      <c r="D27" s="32">
        <f>D26*20%</f>
        <v>291.262</v>
      </c>
      <c r="E27" s="32">
        <f t="shared" ref="E27" si="2">E26*20%</f>
        <v>55.336000000000006</v>
      </c>
      <c r="F27" s="32">
        <f>F26*0.2</f>
        <v>25.468000000000004</v>
      </c>
      <c r="G27" s="32">
        <f>G26*0.2</f>
        <v>19.664000000000001</v>
      </c>
    </row>
    <row r="28" spans="2:7" ht="45.75" customHeight="1" x14ac:dyDescent="0.3">
      <c r="B28" s="25">
        <v>8</v>
      </c>
      <c r="C28" s="40" t="s">
        <v>355</v>
      </c>
      <c r="D28" s="33">
        <f>D26+D27</f>
        <v>1747.5719999999999</v>
      </c>
      <c r="E28" s="33">
        <f t="shared" ref="E28" si="3">E26+E27</f>
        <v>332.01600000000002</v>
      </c>
      <c r="F28" s="33">
        <f>F26+F27</f>
        <v>152.80799999999999</v>
      </c>
      <c r="G28" s="33">
        <f>G26*1.2</f>
        <v>117.98399999999998</v>
      </c>
    </row>
    <row r="29" spans="2:7" ht="72" hidden="1" x14ac:dyDescent="0.3">
      <c r="B29" s="25">
        <v>13</v>
      </c>
      <c r="C29" s="23" t="s">
        <v>349</v>
      </c>
      <c r="D29" s="30">
        <v>1747.57</v>
      </c>
      <c r="E29" s="33">
        <f>E28/6.25</f>
        <v>53.12256</v>
      </c>
      <c r="F29" s="30" t="s">
        <v>35</v>
      </c>
      <c r="G29" s="34" t="s">
        <v>35</v>
      </c>
    </row>
    <row r="30" spans="2:7" ht="36" hidden="1" x14ac:dyDescent="0.3">
      <c r="B30" s="25">
        <v>14</v>
      </c>
      <c r="C30" s="23" t="s">
        <v>350</v>
      </c>
      <c r="D30" s="25">
        <v>190</v>
      </c>
      <c r="E30" s="25">
        <v>190</v>
      </c>
      <c r="F30" s="25" t="s">
        <v>35</v>
      </c>
      <c r="G30" s="25"/>
    </row>
    <row r="31" spans="2:7" ht="18" x14ac:dyDescent="0.3">
      <c r="B31" s="22"/>
      <c r="C31" s="22"/>
      <c r="D31" s="22"/>
      <c r="E31" s="22"/>
      <c r="F31" s="22"/>
      <c r="G31" s="22"/>
    </row>
    <row r="32" spans="2:7" ht="18" x14ac:dyDescent="0.3">
      <c r="B32" s="22"/>
      <c r="C32" s="22"/>
      <c r="D32" s="22"/>
      <c r="E32" s="22"/>
      <c r="F32" s="22"/>
      <c r="G32" s="22"/>
    </row>
    <row r="33" spans="1:7" ht="18" x14ac:dyDescent="0.3">
      <c r="B33" s="22"/>
      <c r="C33" s="22"/>
      <c r="D33" s="22"/>
      <c r="E33" s="22"/>
      <c r="F33" s="22"/>
      <c r="G33" s="22"/>
    </row>
    <row r="34" spans="1:7" ht="18" x14ac:dyDescent="0.3">
      <c r="A34" s="128" t="s">
        <v>351</v>
      </c>
      <c r="B34" s="128"/>
      <c r="C34" s="128"/>
      <c r="D34" s="128"/>
      <c r="E34" s="128"/>
      <c r="F34" s="128"/>
      <c r="G34" s="128"/>
    </row>
    <row r="35" spans="1:7" ht="15.6" x14ac:dyDescent="0.3">
      <c r="B35" s="37"/>
      <c r="C35" s="37"/>
      <c r="D35" s="37"/>
      <c r="E35" s="37"/>
      <c r="F35" s="37"/>
      <c r="G35" s="37"/>
    </row>
  </sheetData>
  <mergeCells count="7">
    <mergeCell ref="A34:G34"/>
    <mergeCell ref="C7:G7"/>
    <mergeCell ref="B8:B11"/>
    <mergeCell ref="C8:C11"/>
    <mergeCell ref="D8:G8"/>
    <mergeCell ref="D9:E9"/>
    <mergeCell ref="F9:G9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14</vt:i4>
      </vt:variant>
    </vt:vector>
  </HeadingPairs>
  <TitlesOfParts>
    <vt:vector size="14" baseType="lpstr">
      <vt:lpstr>Вироб ТЕ</vt:lpstr>
      <vt:lpstr>Транспорт ТЕ</vt:lpstr>
      <vt:lpstr>Постачання ТЕ </vt:lpstr>
      <vt:lpstr>загальна структура</vt:lpstr>
      <vt:lpstr>Аркуш2</vt:lpstr>
      <vt:lpstr>виробництво</vt:lpstr>
      <vt:lpstr>транспортування</vt:lpstr>
      <vt:lpstr>постачання</vt:lpstr>
      <vt:lpstr> послуги те</vt:lpstr>
      <vt:lpstr>ТЕ</vt:lpstr>
      <vt:lpstr>загальна структура (2)</vt:lpstr>
      <vt:lpstr>Аркуш5 (2)</vt:lpstr>
      <vt:lpstr>Аркуш5</vt:lpstr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2026-09-15T05:49:09Z</cp:lastPrinted>
  <dcterms:created xsi:type="dcterms:W3CDTF">2021-09-23T10:14:09Z</dcterms:created>
  <dcterms:modified xsi:type="dcterms:W3CDTF">2026-09-15T05:50:05Z</dcterms:modified>
</cp:coreProperties>
</file>