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'Лист1'!$A$1:$N$134</definedName>
  </definedNames>
  <calcPr fullCalcOnLoad="1"/>
</workbook>
</file>

<file path=xl/sharedStrings.xml><?xml version="1.0" encoding="utf-8"?>
<sst xmlns="http://schemas.openxmlformats.org/spreadsheetml/2006/main" count="226" uniqueCount="192">
  <si>
    <t>Код  КВК КТКВ</t>
  </si>
  <si>
    <t>Назва головного розпорядника коштів     Назва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</si>
  <si>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</si>
  <si>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</si>
  <si>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</si>
  <si>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</si>
  <si>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</si>
  <si>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</si>
  <si>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</si>
  <si>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</si>
  <si>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</si>
  <si>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</si>
  <si>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</si>
  <si>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</si>
  <si>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</si>
  <si>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</si>
  <si>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</si>
  <si>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</si>
  <si>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</si>
  <si>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</si>
  <si>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</si>
  <si>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</si>
  <si>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</si>
  <si>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</si>
  <si>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Видатки на проведення робіт, пов`язаних з будiвництвом, реконструкцiєю, ремонтом i утриманням автомобiльних дорiг</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</si>
  <si>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</si>
  <si>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</si>
  <si>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</si>
  <si>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</si>
  <si>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</si>
  <si>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</si>
  <si>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</si>
  <si>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</si>
  <si>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</si>
  <si>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</si>
  <si>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</si>
  <si>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</si>
  <si>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</si>
  <si>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</si>
  <si>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Управління праці та соціального захисту населення виконавчого комітету міської ради</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</si>
  <si>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</si>
  <si>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</si>
  <si>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</si>
  <si>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</si>
  <si>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</si>
  <si>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</si>
  <si>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</si>
  <si>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</si>
  <si>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</si>
  <si>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</si>
  <si>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</si>
  <si>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</si>
  <si>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Центр Громади м.Старокостянтинова</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</si>
  <si>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</si>
  <si>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</si>
  <si>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</si>
  <si>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</si>
  <si>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</si>
  <si>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</si>
  <si>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</si>
  <si>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</si>
  <si>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</si>
  <si>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</si>
  <si>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</si>
  <si>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Старокостянтинівська ЖЕК</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</si>
  <si>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</si>
  <si>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</si>
  <si>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</si>
  <si>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</si>
  <si>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</si>
  <si>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</si>
  <si>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</si>
  <si>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</si>
  <si>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</si>
  <si>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</si>
  <si>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</si>
  <si>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</si>
  <si>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</si>
  <si>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</si>
  <si>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</si>
  <si>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</si>
  <si>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</si>
  <si>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</si>
  <si>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</si>
  <si>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</si>
  <si>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</si>
  <si>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</si>
  <si>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</si>
  <si>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</si>
  <si>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</si>
  <si>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</si>
  <si>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</si>
  <si>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</si>
  <si>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</si>
  <si>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</si>
  <si>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</si>
  <si>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</si>
  <si>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</si>
  <si>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</si>
  <si>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</si>
  <si>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</si>
  <si>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</si>
  <si>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</si>
  <si>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</si>
  <si>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</si>
  <si>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</si>
  <si>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</si>
  <si>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</si>
  <si>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</si>
  <si>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Розподіл видатків по бюджету міста Старокостянтинова на 2012 рік</t>
  </si>
  <si>
    <t>03</t>
  </si>
  <si>
    <t>Видатки на запобігання та ліквідацію надзвичайних ситуацій та наслідків стихійного лиха</t>
  </si>
  <si>
    <t>Розробка схем та проектних рішень масового застосування</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</si>
  <si>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</si>
  <si>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фонди суб"єктів підприємницької дяльності</t>
  </si>
  <si>
    <t>Капітальний ремонт житлового фонду місцевих органів влади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</si>
  <si>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</si>
  <si>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пролграм соціально- економічного та культурного розвитку регіонів</t>
  </si>
  <si>
    <t>Видатки на проведення робіт, пов`язаних з будiвництвом, реконструкцiєю, ремонтом i утриманням автомобiльних дорiг - на виконання рішень суду</t>
  </si>
  <si>
    <t>Водопровідно - каналізаційне господарство</t>
  </si>
  <si>
    <t>Додаток 3-1</t>
  </si>
  <si>
    <t>за головними розпорядниками коштів у розрізі  бюджетних програм у форматі програмно - цільового методу бюджетування</t>
  </si>
  <si>
    <t>Код  КПКВК</t>
  </si>
  <si>
    <t>0313830</t>
  </si>
  <si>
    <t>0316020</t>
  </si>
  <si>
    <t>0316080</t>
  </si>
  <si>
    <t>2414060</t>
  </si>
  <si>
    <t>2414090</t>
  </si>
  <si>
    <t>2414100</t>
  </si>
  <si>
    <t>0317110</t>
  </si>
  <si>
    <t>0317120</t>
  </si>
  <si>
    <t>0315010</t>
  </si>
  <si>
    <t>0310220</t>
  </si>
  <si>
    <t>0313850</t>
  </si>
  <si>
    <t>0313900</t>
  </si>
  <si>
    <t>0313910</t>
  </si>
  <si>
    <t>0313920</t>
  </si>
  <si>
    <t>0316070</t>
  </si>
  <si>
    <t>0314800</t>
  </si>
  <si>
    <t>0316310</t>
  </si>
  <si>
    <t>0316460</t>
  </si>
  <si>
    <t>0317620</t>
  </si>
  <si>
    <t>0319110</t>
  </si>
  <si>
    <t>0318060</t>
  </si>
  <si>
    <t>1011010</t>
  </si>
  <si>
    <t>1011100</t>
  </si>
  <si>
    <t>1011170</t>
  </si>
  <si>
    <t>1011190</t>
  </si>
  <si>
    <t>1011210</t>
  </si>
  <si>
    <t>1011260</t>
  </si>
  <si>
    <t>1013880</t>
  </si>
  <si>
    <t>1015050</t>
  </si>
  <si>
    <t>1511070</t>
  </si>
  <si>
    <t>1513010</t>
  </si>
  <si>
    <t>1513020</t>
  </si>
  <si>
    <t>1513030</t>
  </si>
  <si>
    <t>1513040</t>
  </si>
  <si>
    <t>1513070</t>
  </si>
  <si>
    <t>1513090</t>
  </si>
  <si>
    <t>1513120</t>
  </si>
  <si>
    <t>1513130</t>
  </si>
  <si>
    <t>1513140</t>
  </si>
  <si>
    <t>1513150</t>
  </si>
  <si>
    <t>1513160</t>
  </si>
  <si>
    <t>1513170</t>
  </si>
  <si>
    <t>1513180</t>
  </si>
  <si>
    <t>1513190</t>
  </si>
  <si>
    <t>1513200</t>
  </si>
  <si>
    <t>1513210</t>
  </si>
  <si>
    <t>1513220</t>
  </si>
  <si>
    <t>1513230</t>
  </si>
  <si>
    <t>1513240</t>
  </si>
  <si>
    <t>1513250</t>
  </si>
  <si>
    <t>1513550</t>
  </si>
  <si>
    <t>1513270</t>
  </si>
  <si>
    <t>1513280</t>
  </si>
  <si>
    <t>1513290</t>
  </si>
  <si>
    <t>1513330</t>
  </si>
  <si>
    <t>1513350</t>
  </si>
  <si>
    <t>1513370</t>
  </si>
  <si>
    <t>1513380</t>
  </si>
  <si>
    <t>1513390</t>
  </si>
  <si>
    <t>1513400</t>
  </si>
  <si>
    <t>1513420</t>
  </si>
  <si>
    <t>2414070</t>
  </si>
  <si>
    <t>2414810</t>
  </si>
  <si>
    <t>2414820</t>
  </si>
  <si>
    <t>Інші програми соціального захисту дітей</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</si>
  <si>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</si>
  <si>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Цільові фонди, утворені ВР АРК, органами місцевого самоврядування і місцевими органами виконавчої влади</t>
  </si>
  <si>
    <t>0313820</t>
  </si>
  <si>
    <t>до  рішення 25  сесії міської ради від 27.07.2012р. № 7 "Про внесення змін до бюджету міста на 2012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</si>
</sst>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4">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name val="Arial"/>
      <family val="2"/>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41">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0" fontId="2" fillId="0" borderId="10" xfId="0" applyFont="1" applyBorder="1" applyAlignment="1">
      <alignment vertical="center" wrapText="1"/>
    </xf>
    <xf numFmtId="0" fontId="3" fillId="0" borderId="10" xfId="0" applyFont="1" applyFill="1" applyBorder="1" applyAlignment="1">
      <alignment/>
    </xf>
    <xf numFmtId="2" fontId="0" fillId="0" borderId="0" xfId="0" applyNumberFormat="1" applyAlignment="1">
      <alignment/>
    </xf>
    <xf numFmtId="2" fontId="3" fillId="0" borderId="10" xfId="0" applyNumberFormat="1" applyFont="1" applyFill="1" applyBorder="1" applyAlignment="1">
      <alignment horizontal="right" vertical="center"/>
    </xf>
    <xf numFmtId="2" fontId="2" fillId="0" borderId="10" xfId="0" applyNumberFormat="1" applyFont="1" applyFill="1" applyBorder="1" applyAlignment="1">
      <alignment horizontal="right" vertical="center"/>
    </xf>
    <xf numFmtId="2" fontId="3" fillId="0" borderId="10" xfId="0" applyNumberFormat="1" applyFont="1" applyFill="1" applyBorder="1" applyAlignment="1">
      <alignment horizontal="right"/>
    </xf>
    <xf numFmtId="49" fontId="3"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vertical="center" wrapText="1"/>
    </xf>
    <xf numFmtId="0" fontId="2" fillId="0" borderId="0" xfId="0" applyFont="1" applyAlignment="1">
      <alignment vertical="top" wrapText="1"/>
    </xf>
    <xf numFmtId="0" fontId="2" fillId="0" borderId="10" xfId="0" applyFont="1" applyBorder="1" applyAlignment="1">
      <alignment vertical="top" wrapText="1"/>
    </xf>
    <xf numFmtId="49" fontId="0" fillId="0" borderId="10" xfId="0" applyNumberFormat="1" applyBorder="1" applyAlignment="1">
      <alignment/>
    </xf>
    <xf numFmtId="49" fontId="1" fillId="0" borderId="10" xfId="0" applyNumberFormat="1" applyFont="1" applyBorder="1" applyAlignment="1">
      <alignment/>
    </xf>
    <xf numFmtId="49" fontId="0" fillId="0" borderId="10" xfId="0" applyNumberFormat="1" applyBorder="1" applyAlignment="1">
      <alignment vertical="center"/>
    </xf>
    <xf numFmtId="2" fontId="2" fillId="0" borderId="10" xfId="0" applyNumberFormat="1" applyFont="1" applyFill="1" applyBorder="1" applyAlignment="1">
      <alignment vertical="center"/>
    </xf>
    <xf numFmtId="0" fontId="0" fillId="0" borderId="0" xfId="0" applyFill="1" applyAlignment="1">
      <alignment vertical="top" wrapText="1"/>
    </xf>
    <xf numFmtId="0" fontId="0" fillId="0" borderId="0" xfId="0" applyAlignment="1">
      <alignment/>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xf numFmtId="0" fontId="6"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4"/>
  <sheetViews>
    <sheetView tabSelected="1" zoomScale="75" zoomScaleNormal="75"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K2" sqref="K2:N2"/>
    </sheetView>
  </sheetViews>
  <sheetFormatPr defaultColWidth="9.140625" defaultRowHeight="15"/>
  <cols>
    <col min="1" max="1" width="10.28125" style="0" customWidth="1"/>
    <col min="2" max="2" width="13.00390625" style="0" customWidth="1"/>
    <col min="3" max="3" width="37.8515625" style="0" customWidth="1"/>
    <col min="4" max="4" width="16.28125" style="0" customWidth="1"/>
    <col min="5" max="5" width="13.57421875" style="0" customWidth="1"/>
    <col min="6" max="6" width="13.140625" style="0" customWidth="1"/>
    <col min="7" max="7" width="14.28125" style="0" customWidth="1"/>
    <col min="8" max="8" width="13.00390625" style="0" customWidth="1"/>
    <col min="9" max="9" width="11.57421875" style="0" customWidth="1"/>
    <col min="10" max="10" width="10.8515625" style="0" customWidth="1"/>
    <col min="11" max="11" width="14.8515625" style="0" customWidth="1"/>
    <col min="12" max="12" width="13.8515625" style="0" customWidth="1"/>
    <col min="13" max="13" width="12.57421875" style="0" customWidth="1"/>
    <col min="14" max="14" width="14.57421875" style="0" customWidth="1"/>
  </cols>
  <sheetData>
    <row r="1" spans="2:14" ht="15">
      <c r="B1" s="3"/>
      <c r="C1" s="3"/>
      <c r="D1" s="3"/>
      <c r="E1" s="3"/>
      <c r="F1" s="3"/>
      <c r="G1" s="3"/>
      <c r="H1" s="3"/>
      <c r="I1" s="3"/>
      <c r="J1" s="3"/>
      <c r="K1" s="3" t="s">
        <v>120</v>
      </c>
      <c r="L1" s="3"/>
      <c r="M1" s="3"/>
      <c r="N1" s="3"/>
    </row>
    <row r="2" spans="2:14" ht="34.5" customHeight="1">
      <c r="B2" s="3"/>
      <c r="C2" s="3"/>
      <c r="D2" s="3"/>
      <c r="E2" s="3"/>
      <c r="F2" s="3"/>
      <c r="G2" s="3"/>
      <c r="H2" s="3"/>
      <c r="I2" s="3"/>
      <c r="J2" s="3"/>
      <c r="K2" s="29" t="s">
        <v>191</v>
      </c>
      <c r="L2" s="29"/>
      <c r="M2" s="29"/>
      <c r="N2" s="30"/>
    </row>
    <row r="3" spans="2:14" ht="15">
      <c r="B3" s="38" t="s">
        <v>109</v>
      </c>
      <c r="C3" s="39"/>
      <c r="D3" s="39"/>
      <c r="E3" s="39"/>
      <c r="F3" s="39"/>
      <c r="G3" s="39"/>
      <c r="H3" s="39"/>
      <c r="I3" s="39"/>
      <c r="J3" s="39"/>
      <c r="K3" s="39"/>
      <c r="L3" s="39"/>
      <c r="M3" s="39"/>
      <c r="N3" s="39"/>
    </row>
    <row r="4" spans="2:14" ht="15">
      <c r="B4" s="38" t="s">
        <v>121</v>
      </c>
      <c r="C4" s="39"/>
      <c r="D4" s="39"/>
      <c r="E4" s="39"/>
      <c r="F4" s="39"/>
      <c r="G4" s="39"/>
      <c r="H4" s="39"/>
      <c r="I4" s="39"/>
      <c r="J4" s="39"/>
      <c r="K4" s="39"/>
      <c r="L4" s="39"/>
      <c r="M4" s="39"/>
      <c r="N4" s="39"/>
    </row>
    <row r="5" spans="2:15" ht="18.75">
      <c r="B5" s="3"/>
      <c r="C5" s="40"/>
      <c r="D5" s="40"/>
      <c r="E5" s="40"/>
      <c r="F5" s="40"/>
      <c r="G5" s="40"/>
      <c r="H5" s="40"/>
      <c r="I5" s="40"/>
      <c r="J5" s="40"/>
      <c r="K5" s="40"/>
      <c r="L5" s="40"/>
      <c r="M5" s="40"/>
      <c r="N5" s="40"/>
      <c r="O5" s="40"/>
    </row>
    <row r="6" spans="1:14" ht="15">
      <c r="A6" s="37" t="s">
        <v>122</v>
      </c>
      <c r="B6" s="37" t="s">
        <v>0</v>
      </c>
      <c r="C6" s="37" t="s">
        <v>1</v>
      </c>
      <c r="D6" s="31" t="s">
        <v>2</v>
      </c>
      <c r="E6" s="31"/>
      <c r="F6" s="31"/>
      <c r="G6" s="31" t="s">
        <v>9</v>
      </c>
      <c r="H6" s="31"/>
      <c r="I6" s="31"/>
      <c r="J6" s="31"/>
      <c r="K6" s="31"/>
      <c r="L6" s="31"/>
      <c r="M6" s="31"/>
      <c r="N6" s="31" t="s">
        <v>10</v>
      </c>
    </row>
    <row r="7" spans="1:14" ht="15">
      <c r="A7" s="37"/>
      <c r="B7" s="37"/>
      <c r="C7" s="37"/>
      <c r="D7" s="37" t="s">
        <v>3</v>
      </c>
      <c r="E7" s="36" t="s">
        <v>5</v>
      </c>
      <c r="F7" s="36"/>
      <c r="G7" s="37" t="s">
        <v>3</v>
      </c>
      <c r="H7" s="37" t="s">
        <v>4</v>
      </c>
      <c r="I7" s="36" t="s">
        <v>5</v>
      </c>
      <c r="J7" s="36"/>
      <c r="K7" s="36" t="s">
        <v>8</v>
      </c>
      <c r="L7" s="32" t="s">
        <v>5</v>
      </c>
      <c r="M7" s="33"/>
      <c r="N7" s="31"/>
    </row>
    <row r="8" spans="1:14" ht="25.5" customHeight="1">
      <c r="A8" s="37"/>
      <c r="B8" s="37"/>
      <c r="C8" s="37"/>
      <c r="D8" s="37"/>
      <c r="E8" s="36" t="s">
        <v>6</v>
      </c>
      <c r="F8" s="36" t="s">
        <v>7</v>
      </c>
      <c r="G8" s="37"/>
      <c r="H8" s="37"/>
      <c r="I8" s="36" t="s">
        <v>6</v>
      </c>
      <c r="J8" s="36" t="s">
        <v>7</v>
      </c>
      <c r="K8" s="36"/>
      <c r="L8" s="34" t="s">
        <v>92</v>
      </c>
      <c r="M8" s="4" t="s">
        <v>5</v>
      </c>
      <c r="N8" s="31"/>
    </row>
    <row r="9" spans="1:14" ht="120" customHeight="1">
      <c r="A9" s="37"/>
      <c r="B9" s="37"/>
      <c r="C9" s="37"/>
      <c r="D9" s="37"/>
      <c r="E9" s="36"/>
      <c r="F9" s="36"/>
      <c r="G9" s="37"/>
      <c r="H9" s="37"/>
      <c r="I9" s="36"/>
      <c r="J9" s="36"/>
      <c r="K9" s="36"/>
      <c r="L9" s="35"/>
      <c r="M9" s="4" t="s">
        <v>93</v>
      </c>
      <c r="N9" s="31"/>
    </row>
    <row r="10" spans="1:14" ht="15">
      <c r="A10">
        <v>1</v>
      </c>
      <c r="B10" s="5">
        <v>2</v>
      </c>
      <c r="C10" s="5">
        <v>3</v>
      </c>
      <c r="D10" s="5">
        <v>4</v>
      </c>
      <c r="E10" s="5">
        <v>5</v>
      </c>
      <c r="F10" s="5">
        <v>6</v>
      </c>
      <c r="G10" s="5">
        <v>7</v>
      </c>
      <c r="H10" s="5">
        <v>8</v>
      </c>
      <c r="I10" s="5">
        <v>9</v>
      </c>
      <c r="J10" s="5">
        <v>10</v>
      </c>
      <c r="K10" s="5">
        <v>11</v>
      </c>
      <c r="L10" s="5">
        <v>12</v>
      </c>
      <c r="M10" s="5">
        <v>13</v>
      </c>
      <c r="N10" s="5">
        <v>14</v>
      </c>
    </row>
    <row r="11" spans="1:14" ht="15">
      <c r="A11" s="25"/>
      <c r="B11" s="18" t="s">
        <v>110</v>
      </c>
      <c r="C11" s="7" t="s">
        <v>11</v>
      </c>
      <c r="D11" s="15">
        <f aca="true" t="shared" si="0" ref="D11:M11">D12+D17+D26+D34+D36+D41+D43+D46++D51+D56+D63+D49</f>
        <v>11501122.959999999</v>
      </c>
      <c r="E11" s="15">
        <f t="shared" si="0"/>
        <v>4267844</v>
      </c>
      <c r="F11" s="15">
        <f t="shared" si="0"/>
        <v>195997</v>
      </c>
      <c r="G11" s="15">
        <f t="shared" si="0"/>
        <v>7681906.02</v>
      </c>
      <c r="H11" s="15">
        <f t="shared" si="0"/>
        <v>1951110.2</v>
      </c>
      <c r="I11" s="15">
        <f t="shared" si="0"/>
        <v>5796</v>
      </c>
      <c r="J11" s="15">
        <f t="shared" si="0"/>
        <v>0</v>
      </c>
      <c r="K11" s="15">
        <f t="shared" si="0"/>
        <v>5730795.82</v>
      </c>
      <c r="L11" s="15">
        <f t="shared" si="0"/>
        <v>3087200.02</v>
      </c>
      <c r="M11" s="15">
        <f t="shared" si="0"/>
        <v>312198</v>
      </c>
      <c r="N11" s="15">
        <f aca="true" t="shared" si="1" ref="N11:N39">D11+G11</f>
        <v>19183028.979999997</v>
      </c>
    </row>
    <row r="12" spans="1:14" ht="15">
      <c r="A12" s="26"/>
      <c r="B12" s="8">
        <v>10000</v>
      </c>
      <c r="C12" s="7" t="s">
        <v>12</v>
      </c>
      <c r="D12" s="15">
        <f>D13</f>
        <v>5577215.57</v>
      </c>
      <c r="E12" s="15">
        <f aca="true" t="shared" si="2" ref="E12:M12">E13</f>
        <v>3725160</v>
      </c>
      <c r="F12" s="15">
        <f t="shared" si="2"/>
        <v>149983</v>
      </c>
      <c r="G12" s="15">
        <f t="shared" si="2"/>
        <v>192820</v>
      </c>
      <c r="H12" s="15">
        <f t="shared" si="2"/>
        <v>0</v>
      </c>
      <c r="I12" s="15">
        <f t="shared" si="2"/>
        <v>0</v>
      </c>
      <c r="J12" s="15">
        <f t="shared" si="2"/>
        <v>0</v>
      </c>
      <c r="K12" s="15">
        <f t="shared" si="2"/>
        <v>192820</v>
      </c>
      <c r="L12" s="15">
        <f t="shared" si="2"/>
        <v>168820</v>
      </c>
      <c r="M12" s="15">
        <f t="shared" si="2"/>
        <v>0</v>
      </c>
      <c r="N12" s="15">
        <f t="shared" si="1"/>
        <v>5770035.57</v>
      </c>
    </row>
    <row r="13" spans="1:14" ht="28.5">
      <c r="A13" s="25" t="s">
        <v>132</v>
      </c>
      <c r="B13" s="9">
        <v>10116</v>
      </c>
      <c r="C13" s="10" t="s">
        <v>57</v>
      </c>
      <c r="D13" s="16">
        <f>SUM(D14:D16)</f>
        <v>5577215.57</v>
      </c>
      <c r="E13" s="16">
        <f>SUM(E14:E16)</f>
        <v>3725160</v>
      </c>
      <c r="F13" s="16">
        <f>SUM(F14:F16)</f>
        <v>149983</v>
      </c>
      <c r="G13" s="16">
        <f aca="true" t="shared" si="3" ref="G13:G19">H13+K13</f>
        <v>192820</v>
      </c>
      <c r="H13" s="16">
        <f aca="true" t="shared" si="4" ref="H13:M13">SUM(H14:H16)</f>
        <v>0</v>
      </c>
      <c r="I13" s="16">
        <f t="shared" si="4"/>
        <v>0</v>
      </c>
      <c r="J13" s="16">
        <f t="shared" si="4"/>
        <v>0</v>
      </c>
      <c r="K13" s="16">
        <f t="shared" si="4"/>
        <v>192820</v>
      </c>
      <c r="L13" s="16">
        <f>SUM(L14:L16)</f>
        <v>168820</v>
      </c>
      <c r="M13" s="16">
        <f t="shared" si="4"/>
        <v>0</v>
      </c>
      <c r="N13" s="16">
        <f t="shared" si="1"/>
        <v>5770035.57</v>
      </c>
    </row>
    <row r="14" spans="1:14" ht="15">
      <c r="A14" s="25" t="s">
        <v>132</v>
      </c>
      <c r="B14" s="9">
        <v>10116</v>
      </c>
      <c r="C14" s="10" t="s">
        <v>11</v>
      </c>
      <c r="D14" s="16">
        <f>3217402+21729.62+217414+150000</f>
        <v>3606545.62</v>
      </c>
      <c r="E14" s="16">
        <f>2087006+159600</f>
        <v>2246606</v>
      </c>
      <c r="F14" s="16">
        <f>118355</f>
        <v>118355</v>
      </c>
      <c r="G14" s="16">
        <f t="shared" si="3"/>
        <v>148674</v>
      </c>
      <c r="H14" s="16"/>
      <c r="I14" s="16"/>
      <c r="J14" s="16"/>
      <c r="K14" s="16">
        <f>58064+90610</f>
        <v>148674</v>
      </c>
      <c r="L14" s="16">
        <f>58064+90610</f>
        <v>148674</v>
      </c>
      <c r="M14" s="16"/>
      <c r="N14" s="16">
        <f t="shared" si="1"/>
        <v>3755219.62</v>
      </c>
    </row>
    <row r="15" spans="1:14" ht="42.75">
      <c r="A15" s="25" t="s">
        <v>132</v>
      </c>
      <c r="B15" s="9">
        <v>10116</v>
      </c>
      <c r="C15" s="10" t="s">
        <v>50</v>
      </c>
      <c r="D15" s="16">
        <f>1331899+2998.95+82100</f>
        <v>1416997.95</v>
      </c>
      <c r="E15" s="16">
        <f>914704+60300+110000</f>
        <v>1085004</v>
      </c>
      <c r="F15" s="16">
        <f>31628</f>
        <v>31628</v>
      </c>
      <c r="G15" s="16">
        <f t="shared" si="3"/>
        <v>24000</v>
      </c>
      <c r="H15" s="16"/>
      <c r="I15" s="16"/>
      <c r="J15" s="16"/>
      <c r="K15" s="16">
        <f>24000</f>
        <v>24000</v>
      </c>
      <c r="L15" s="16"/>
      <c r="M15" s="16"/>
      <c r="N15" s="16">
        <f t="shared" si="1"/>
        <v>1440997.95</v>
      </c>
    </row>
    <row r="16" spans="1:14" ht="28.5">
      <c r="A16" s="25" t="s">
        <v>132</v>
      </c>
      <c r="B16" s="9">
        <v>10116</v>
      </c>
      <c r="C16" s="10" t="s">
        <v>45</v>
      </c>
      <c r="D16" s="16">
        <f>513099+1197+19376+20000</f>
        <v>553672</v>
      </c>
      <c r="E16" s="16">
        <f>364650+14200+14700</f>
        <v>393550</v>
      </c>
      <c r="F16" s="16"/>
      <c r="G16" s="16">
        <f t="shared" si="3"/>
        <v>20146</v>
      </c>
      <c r="H16" s="16"/>
      <c r="I16" s="16"/>
      <c r="J16" s="16"/>
      <c r="K16" s="16">
        <f>5511+14635</f>
        <v>20146</v>
      </c>
      <c r="L16" s="16">
        <f>5511+14635</f>
        <v>20146</v>
      </c>
      <c r="M16" s="16"/>
      <c r="N16" s="16">
        <f t="shared" si="1"/>
        <v>573818</v>
      </c>
    </row>
    <row r="17" spans="1:14" ht="30">
      <c r="A17" s="25"/>
      <c r="B17" s="8">
        <v>90000</v>
      </c>
      <c r="C17" s="7" t="s">
        <v>13</v>
      </c>
      <c r="D17" s="15">
        <f>SUM(D18:D22)</f>
        <v>879085.59</v>
      </c>
      <c r="E17" s="15">
        <f>SUM(E18:E22)</f>
        <v>542684</v>
      </c>
      <c r="F17" s="15">
        <f>SUM(F18:F22)</f>
        <v>46014</v>
      </c>
      <c r="G17" s="15">
        <f t="shared" si="3"/>
        <v>72000</v>
      </c>
      <c r="H17" s="15">
        <f aca="true" t="shared" si="5" ref="H17:M17">SUM(H18:H22)</f>
        <v>13000</v>
      </c>
      <c r="I17" s="15">
        <f t="shared" si="5"/>
        <v>5796</v>
      </c>
      <c r="J17" s="15">
        <f t="shared" si="5"/>
        <v>0</v>
      </c>
      <c r="K17" s="15">
        <f t="shared" si="5"/>
        <v>59000</v>
      </c>
      <c r="L17" s="15">
        <f t="shared" si="5"/>
        <v>59000</v>
      </c>
      <c r="M17" s="15">
        <f t="shared" si="5"/>
        <v>59000</v>
      </c>
      <c r="N17" s="15">
        <f t="shared" si="1"/>
        <v>951085.59</v>
      </c>
    </row>
    <row r="18" spans="1:14" ht="28.5">
      <c r="A18" s="25" t="s">
        <v>190</v>
      </c>
      <c r="B18" s="9">
        <v>90802</v>
      </c>
      <c r="C18" s="11" t="s">
        <v>187</v>
      </c>
      <c r="D18" s="19">
        <f>5000</f>
        <v>5000</v>
      </c>
      <c r="E18" s="19"/>
      <c r="F18" s="19"/>
      <c r="G18" s="19">
        <f t="shared" si="3"/>
        <v>0</v>
      </c>
      <c r="H18" s="19"/>
      <c r="I18" s="19"/>
      <c r="J18" s="19"/>
      <c r="K18" s="19"/>
      <c r="L18" s="19"/>
      <c r="M18" s="19"/>
      <c r="N18" s="19">
        <f t="shared" si="1"/>
        <v>5000</v>
      </c>
    </row>
    <row r="19" spans="1:14" ht="28.5">
      <c r="A19" s="25" t="s">
        <v>190</v>
      </c>
      <c r="B19" s="9">
        <v>91101</v>
      </c>
      <c r="C19" s="10" t="s">
        <v>14</v>
      </c>
      <c r="D19" s="16">
        <f>164811+400+279800-60500+1500</f>
        <v>386011</v>
      </c>
      <c r="E19" s="16">
        <f>116149+132000</f>
        <v>248149</v>
      </c>
      <c r="F19" s="16">
        <f>4615+21240</f>
        <v>25855</v>
      </c>
      <c r="G19" s="16">
        <f t="shared" si="3"/>
        <v>59000</v>
      </c>
      <c r="H19" s="16"/>
      <c r="I19" s="16"/>
      <c r="J19" s="16"/>
      <c r="K19" s="16">
        <f>60500-1500</f>
        <v>59000</v>
      </c>
      <c r="L19" s="16">
        <f>60500-1500</f>
        <v>59000</v>
      </c>
      <c r="M19" s="16">
        <f>60500-1500</f>
        <v>59000</v>
      </c>
      <c r="N19" s="16">
        <f t="shared" si="1"/>
        <v>445011</v>
      </c>
    </row>
    <row r="20" spans="1:14" ht="42.75">
      <c r="A20" s="25" t="s">
        <v>123</v>
      </c>
      <c r="B20" s="9">
        <v>91102</v>
      </c>
      <c r="C20" s="10" t="s">
        <v>15</v>
      </c>
      <c r="D20" s="16">
        <f>7290</f>
        <v>7290</v>
      </c>
      <c r="E20" s="16"/>
      <c r="F20" s="16"/>
      <c r="G20" s="16"/>
      <c r="H20" s="16"/>
      <c r="I20" s="16"/>
      <c r="J20" s="16"/>
      <c r="K20" s="16"/>
      <c r="L20" s="16"/>
      <c r="M20" s="16"/>
      <c r="N20" s="16">
        <f t="shared" si="1"/>
        <v>7290</v>
      </c>
    </row>
    <row r="21" spans="1:14" ht="28.5">
      <c r="A21" s="25" t="s">
        <v>133</v>
      </c>
      <c r="B21" s="9">
        <v>91103</v>
      </c>
      <c r="C21" s="10" t="s">
        <v>16</v>
      </c>
      <c r="D21" s="16">
        <f>65610+2704.59</f>
        <v>68314.59</v>
      </c>
      <c r="E21" s="16"/>
      <c r="F21" s="16"/>
      <c r="G21" s="16"/>
      <c r="H21" s="16"/>
      <c r="I21" s="16"/>
      <c r="J21" s="16"/>
      <c r="K21" s="16"/>
      <c r="L21" s="16"/>
      <c r="M21" s="16"/>
      <c r="N21" s="16">
        <f t="shared" si="1"/>
        <v>68314.59</v>
      </c>
    </row>
    <row r="22" spans="1:14" ht="15">
      <c r="A22" s="25"/>
      <c r="B22" s="9">
        <v>91106</v>
      </c>
      <c r="C22" s="10" t="s">
        <v>56</v>
      </c>
      <c r="D22" s="16">
        <f>SUM(D23:D25)</f>
        <v>412470</v>
      </c>
      <c r="E22" s="16">
        <f>SUM(E23:E25)</f>
        <v>294535</v>
      </c>
      <c r="F22" s="16">
        <f>SUM(F23:F25)</f>
        <v>20159</v>
      </c>
      <c r="G22" s="16">
        <f>H22+K22</f>
        <v>13000</v>
      </c>
      <c r="H22" s="16">
        <f aca="true" t="shared" si="6" ref="H22:M22">SUM(H23:H25)</f>
        <v>13000</v>
      </c>
      <c r="I22" s="16">
        <f t="shared" si="6"/>
        <v>5796</v>
      </c>
      <c r="J22" s="16">
        <f t="shared" si="6"/>
        <v>0</v>
      </c>
      <c r="K22" s="16">
        <f t="shared" si="6"/>
        <v>0</v>
      </c>
      <c r="L22" s="16">
        <f t="shared" si="6"/>
        <v>0</v>
      </c>
      <c r="M22" s="16">
        <f t="shared" si="6"/>
        <v>0</v>
      </c>
      <c r="N22" s="16">
        <f t="shared" si="1"/>
        <v>425470</v>
      </c>
    </row>
    <row r="23" spans="1:14" ht="15">
      <c r="A23" s="25" t="s">
        <v>134</v>
      </c>
      <c r="B23" s="9">
        <v>91106</v>
      </c>
      <c r="C23" s="10" t="s">
        <v>51</v>
      </c>
      <c r="D23" s="16">
        <f>140013+462</f>
        <v>140475</v>
      </c>
      <c r="E23" s="16">
        <f>101264</f>
        <v>101264</v>
      </c>
      <c r="F23" s="16">
        <f>12735</f>
        <v>12735</v>
      </c>
      <c r="G23" s="16">
        <f>H23+K23</f>
        <v>0</v>
      </c>
      <c r="H23" s="16"/>
      <c r="I23" s="16"/>
      <c r="J23" s="16"/>
      <c r="K23" s="16"/>
      <c r="L23" s="16"/>
      <c r="M23" s="16"/>
      <c r="N23" s="16">
        <f t="shared" si="1"/>
        <v>140475</v>
      </c>
    </row>
    <row r="24" spans="1:14" ht="28.5">
      <c r="A24" s="25" t="s">
        <v>135</v>
      </c>
      <c r="B24" s="9">
        <v>91106</v>
      </c>
      <c r="C24" s="10" t="s">
        <v>52</v>
      </c>
      <c r="D24" s="16">
        <f>105878+81</f>
        <v>105959</v>
      </c>
      <c r="E24" s="16">
        <f>71561</f>
        <v>71561</v>
      </c>
      <c r="F24" s="16">
        <f>7424</f>
        <v>7424</v>
      </c>
      <c r="G24" s="16">
        <f>H24+K24</f>
        <v>0</v>
      </c>
      <c r="H24" s="16"/>
      <c r="I24" s="16"/>
      <c r="J24" s="16"/>
      <c r="K24" s="16"/>
      <c r="L24" s="16"/>
      <c r="M24" s="16"/>
      <c r="N24" s="16">
        <f t="shared" si="1"/>
        <v>105959</v>
      </c>
    </row>
    <row r="25" spans="1:14" ht="28.5">
      <c r="A25" s="25" t="s">
        <v>136</v>
      </c>
      <c r="B25" s="9">
        <v>91106</v>
      </c>
      <c r="C25" s="10" t="s">
        <v>53</v>
      </c>
      <c r="D25" s="16">
        <f>160436+5600</f>
        <v>166036</v>
      </c>
      <c r="E25" s="16">
        <f>117610+4100</f>
        <v>121710</v>
      </c>
      <c r="F25" s="16"/>
      <c r="G25" s="16">
        <f>H25+K25</f>
        <v>13000</v>
      </c>
      <c r="H25" s="16">
        <f>13000</f>
        <v>13000</v>
      </c>
      <c r="I25" s="16">
        <f>5796</f>
        <v>5796</v>
      </c>
      <c r="J25" s="16"/>
      <c r="K25" s="16"/>
      <c r="L25" s="16"/>
      <c r="M25" s="16"/>
      <c r="N25" s="16">
        <f t="shared" si="1"/>
        <v>179036</v>
      </c>
    </row>
    <row r="26" spans="1:14" ht="30">
      <c r="A26" s="25"/>
      <c r="B26" s="8">
        <v>100000</v>
      </c>
      <c r="C26" s="7" t="s">
        <v>17</v>
      </c>
      <c r="D26" s="15">
        <f>SUM(D27:D29)</f>
        <v>3927500</v>
      </c>
      <c r="E26" s="15">
        <f>SUM(E27:E29)</f>
        <v>0</v>
      </c>
      <c r="F26" s="15">
        <f>SUM(F27:F29)</f>
        <v>0</v>
      </c>
      <c r="G26" s="15">
        <f aca="true" t="shared" si="7" ref="G26:M26">SUM(G27:G29)</f>
        <v>599916</v>
      </c>
      <c r="H26" s="15">
        <f t="shared" si="7"/>
        <v>0</v>
      </c>
      <c r="I26" s="15">
        <f t="shared" si="7"/>
        <v>0</v>
      </c>
      <c r="J26" s="15">
        <f t="shared" si="7"/>
        <v>0</v>
      </c>
      <c r="K26" s="15">
        <f t="shared" si="7"/>
        <v>599916</v>
      </c>
      <c r="L26" s="15">
        <f t="shared" si="7"/>
        <v>599916</v>
      </c>
      <c r="M26" s="15">
        <f t="shared" si="7"/>
        <v>48319</v>
      </c>
      <c r="N26" s="15">
        <f t="shared" si="1"/>
        <v>4527416</v>
      </c>
    </row>
    <row r="27" spans="1:14" ht="28.5">
      <c r="A27" s="25" t="s">
        <v>124</v>
      </c>
      <c r="B27" s="9">
        <v>100102</v>
      </c>
      <c r="C27" s="10" t="s">
        <v>115</v>
      </c>
      <c r="D27" s="19"/>
      <c r="E27" s="19"/>
      <c r="F27" s="19"/>
      <c r="G27" s="19">
        <f aca="true" t="shared" si="8" ref="G27:G33">H27+K27</f>
        <v>48319</v>
      </c>
      <c r="H27" s="19"/>
      <c r="I27" s="19"/>
      <c r="J27" s="19"/>
      <c r="K27" s="19">
        <f>48319</f>
        <v>48319</v>
      </c>
      <c r="L27" s="19">
        <f>48319</f>
        <v>48319</v>
      </c>
      <c r="M27" s="19">
        <f>48319</f>
        <v>48319</v>
      </c>
      <c r="N27" s="19">
        <f t="shared" si="1"/>
        <v>48319</v>
      </c>
    </row>
    <row r="28" spans="1:14" ht="28.5">
      <c r="A28" s="25" t="s">
        <v>137</v>
      </c>
      <c r="B28" s="9">
        <v>100202</v>
      </c>
      <c r="C28" s="11" t="s">
        <v>119</v>
      </c>
      <c r="D28" s="19"/>
      <c r="E28" s="19"/>
      <c r="F28" s="19"/>
      <c r="G28" s="19">
        <f t="shared" si="8"/>
        <v>516302</v>
      </c>
      <c r="H28" s="19"/>
      <c r="I28" s="19"/>
      <c r="J28" s="19"/>
      <c r="K28" s="19">
        <f>86300+288652+91350+50000+123708-123708</f>
        <v>516302</v>
      </c>
      <c r="L28" s="19">
        <f>86300+91350+50000+288652</f>
        <v>516302</v>
      </c>
      <c r="M28" s="19"/>
      <c r="N28" s="19">
        <f t="shared" si="1"/>
        <v>516302</v>
      </c>
    </row>
    <row r="29" spans="1:14" ht="28.5">
      <c r="A29" s="25" t="s">
        <v>125</v>
      </c>
      <c r="B29" s="9">
        <v>100203</v>
      </c>
      <c r="C29" s="10" t="s">
        <v>55</v>
      </c>
      <c r="D29" s="16">
        <f>SUM(D30:D33)</f>
        <v>3927500</v>
      </c>
      <c r="E29" s="16">
        <f>SUM(E30:E33)</f>
        <v>0</v>
      </c>
      <c r="F29" s="16">
        <f>SUM(F30:F33)</f>
        <v>0</v>
      </c>
      <c r="G29" s="16">
        <f t="shared" si="8"/>
        <v>35295</v>
      </c>
      <c r="H29" s="16"/>
      <c r="I29" s="16"/>
      <c r="J29" s="16"/>
      <c r="K29" s="16">
        <f>SUM(K30:K32)</f>
        <v>35295</v>
      </c>
      <c r="L29" s="16">
        <f>SUM(L30:L32)</f>
        <v>35295</v>
      </c>
      <c r="M29" s="16"/>
      <c r="N29" s="16">
        <f t="shared" si="1"/>
        <v>3962795</v>
      </c>
    </row>
    <row r="30" spans="1:14" ht="15">
      <c r="A30" s="25" t="s">
        <v>125</v>
      </c>
      <c r="B30" s="9">
        <v>100203</v>
      </c>
      <c r="C30" s="10" t="s">
        <v>54</v>
      </c>
      <c r="D30" s="16">
        <f>1200000+15000</f>
        <v>1215000</v>
      </c>
      <c r="E30" s="16"/>
      <c r="F30" s="16"/>
      <c r="G30" s="16">
        <f t="shared" si="8"/>
        <v>35295</v>
      </c>
      <c r="H30" s="16"/>
      <c r="I30" s="16"/>
      <c r="J30" s="16"/>
      <c r="K30" s="16">
        <f>35295</f>
        <v>35295</v>
      </c>
      <c r="L30" s="16">
        <f>35295</f>
        <v>35295</v>
      </c>
      <c r="M30" s="16"/>
      <c r="N30" s="16">
        <f t="shared" si="1"/>
        <v>1250295</v>
      </c>
    </row>
    <row r="31" spans="1:14" ht="28.5">
      <c r="A31" s="25" t="s">
        <v>125</v>
      </c>
      <c r="B31" s="9">
        <v>100203</v>
      </c>
      <c r="C31" s="10" t="s">
        <v>58</v>
      </c>
      <c r="D31" s="16">
        <f>1600000+526500</f>
        <v>2126500</v>
      </c>
      <c r="E31" s="16"/>
      <c r="F31" s="16"/>
      <c r="G31" s="16">
        <f t="shared" si="8"/>
        <v>0</v>
      </c>
      <c r="H31" s="16"/>
      <c r="I31" s="16"/>
      <c r="J31" s="16"/>
      <c r="K31" s="16"/>
      <c r="L31" s="16"/>
      <c r="M31" s="16"/>
      <c r="N31" s="16">
        <f t="shared" si="1"/>
        <v>2126500</v>
      </c>
    </row>
    <row r="32" spans="1:14" ht="15">
      <c r="A32" s="25" t="s">
        <v>125</v>
      </c>
      <c r="B32" s="9">
        <v>100203</v>
      </c>
      <c r="C32" s="10" t="s">
        <v>59</v>
      </c>
      <c r="D32" s="16">
        <f>550000+21000</f>
        <v>571000</v>
      </c>
      <c r="E32" s="16"/>
      <c r="F32" s="16"/>
      <c r="G32" s="16">
        <f t="shared" si="8"/>
        <v>0</v>
      </c>
      <c r="H32" s="16"/>
      <c r="I32" s="16"/>
      <c r="J32" s="16"/>
      <c r="K32" s="16"/>
      <c r="L32" s="16"/>
      <c r="M32" s="16"/>
      <c r="N32" s="16">
        <f t="shared" si="1"/>
        <v>571000</v>
      </c>
    </row>
    <row r="33" spans="1:14" ht="15">
      <c r="A33" s="25" t="s">
        <v>124</v>
      </c>
      <c r="B33" s="9">
        <v>100203</v>
      </c>
      <c r="C33" s="10" t="s">
        <v>64</v>
      </c>
      <c r="D33" s="16">
        <f>15000</f>
        <v>15000</v>
      </c>
      <c r="E33" s="16"/>
      <c r="F33" s="16"/>
      <c r="G33" s="16">
        <f t="shared" si="8"/>
        <v>0</v>
      </c>
      <c r="H33" s="16"/>
      <c r="I33" s="16"/>
      <c r="J33" s="16"/>
      <c r="K33" s="16"/>
      <c r="L33" s="16"/>
      <c r="M33" s="16"/>
      <c r="N33" s="16">
        <f t="shared" si="1"/>
        <v>15000</v>
      </c>
    </row>
    <row r="34" spans="1:14" ht="15">
      <c r="A34" s="25"/>
      <c r="B34" s="8">
        <v>110000</v>
      </c>
      <c r="C34" s="7" t="s">
        <v>18</v>
      </c>
      <c r="D34" s="15">
        <f>D35</f>
        <v>139148</v>
      </c>
      <c r="E34" s="15">
        <f>E35</f>
        <v>0</v>
      </c>
      <c r="F34" s="15">
        <f>F35</f>
        <v>0</v>
      </c>
      <c r="G34" s="15">
        <f aca="true" t="shared" si="9" ref="G34:G66">H34+K34</f>
        <v>0</v>
      </c>
      <c r="H34" s="15">
        <f aca="true" t="shared" si="10" ref="H34:M34">H35</f>
        <v>0</v>
      </c>
      <c r="I34" s="15">
        <f t="shared" si="10"/>
        <v>0</v>
      </c>
      <c r="J34" s="15">
        <f t="shared" si="10"/>
        <v>0</v>
      </c>
      <c r="K34" s="15">
        <f t="shared" si="10"/>
        <v>0</v>
      </c>
      <c r="L34" s="15">
        <f t="shared" si="10"/>
        <v>0</v>
      </c>
      <c r="M34" s="15">
        <f t="shared" si="10"/>
        <v>0</v>
      </c>
      <c r="N34" s="15">
        <f t="shared" si="1"/>
        <v>139148</v>
      </c>
    </row>
    <row r="35" spans="1:14" ht="28.5">
      <c r="A35" s="25" t="s">
        <v>138</v>
      </c>
      <c r="B35" s="9">
        <v>110502</v>
      </c>
      <c r="C35" s="10" t="s">
        <v>19</v>
      </c>
      <c r="D35" s="16">
        <f>139148</f>
        <v>139148</v>
      </c>
      <c r="E35" s="16"/>
      <c r="F35" s="16"/>
      <c r="G35" s="16">
        <f t="shared" si="9"/>
        <v>0</v>
      </c>
      <c r="H35" s="16"/>
      <c r="I35" s="16"/>
      <c r="J35" s="16"/>
      <c r="K35" s="16"/>
      <c r="L35" s="16"/>
      <c r="M35" s="16"/>
      <c r="N35" s="16">
        <f t="shared" si="1"/>
        <v>139148</v>
      </c>
    </row>
    <row r="36" spans="1:14" ht="15">
      <c r="A36" s="25"/>
      <c r="B36" s="8">
        <v>120000</v>
      </c>
      <c r="C36" s="7" t="s">
        <v>20</v>
      </c>
      <c r="D36" s="15">
        <f>D37+D39</f>
        <v>200000</v>
      </c>
      <c r="E36" s="15">
        <f>E37+E39</f>
        <v>0</v>
      </c>
      <c r="F36" s="15">
        <f>F37+F39</f>
        <v>0</v>
      </c>
      <c r="G36" s="15">
        <f t="shared" si="9"/>
        <v>10000</v>
      </c>
      <c r="H36" s="15">
        <f aca="true" t="shared" si="11" ref="H36:M36">H37+H39</f>
        <v>0</v>
      </c>
      <c r="I36" s="15">
        <f t="shared" si="11"/>
        <v>0</v>
      </c>
      <c r="J36" s="15">
        <f t="shared" si="11"/>
        <v>0</v>
      </c>
      <c r="K36" s="15">
        <f t="shared" si="11"/>
        <v>10000</v>
      </c>
      <c r="L36" s="15">
        <f t="shared" si="11"/>
        <v>10000</v>
      </c>
      <c r="M36" s="15">
        <f t="shared" si="11"/>
        <v>0</v>
      </c>
      <c r="N36" s="15">
        <f t="shared" si="1"/>
        <v>210000</v>
      </c>
    </row>
    <row r="37" spans="1:14" ht="28.5">
      <c r="A37" s="25"/>
      <c r="B37" s="9">
        <v>120100</v>
      </c>
      <c r="C37" s="10" t="s">
        <v>65</v>
      </c>
      <c r="D37" s="16">
        <f>60000</f>
        <v>60000</v>
      </c>
      <c r="E37" s="16"/>
      <c r="F37" s="16"/>
      <c r="G37" s="16">
        <f t="shared" si="9"/>
        <v>10000</v>
      </c>
      <c r="H37" s="16"/>
      <c r="I37" s="16"/>
      <c r="J37" s="16"/>
      <c r="K37" s="16">
        <f>10000</f>
        <v>10000</v>
      </c>
      <c r="L37" s="16">
        <f>10000</f>
        <v>10000</v>
      </c>
      <c r="M37" s="16"/>
      <c r="N37" s="16">
        <f t="shared" si="1"/>
        <v>70000</v>
      </c>
    </row>
    <row r="38" spans="1:14" ht="28.5">
      <c r="A38" s="25" t="s">
        <v>129</v>
      </c>
      <c r="B38" s="9">
        <v>120100</v>
      </c>
      <c r="C38" s="10" t="s">
        <v>67</v>
      </c>
      <c r="D38" s="16">
        <f>60000</f>
        <v>60000</v>
      </c>
      <c r="E38" s="16"/>
      <c r="F38" s="16"/>
      <c r="G38" s="16">
        <f t="shared" si="9"/>
        <v>0</v>
      </c>
      <c r="H38" s="16"/>
      <c r="I38" s="16"/>
      <c r="J38" s="16"/>
      <c r="K38" s="16"/>
      <c r="L38" s="16"/>
      <c r="M38" s="16"/>
      <c r="N38" s="16">
        <f t="shared" si="1"/>
        <v>60000</v>
      </c>
    </row>
    <row r="39" spans="1:14" ht="28.5">
      <c r="A39" s="25"/>
      <c r="B39" s="9">
        <v>120201</v>
      </c>
      <c r="C39" s="10" t="s">
        <v>60</v>
      </c>
      <c r="D39" s="16">
        <f>140000</f>
        <v>140000</v>
      </c>
      <c r="E39" s="16"/>
      <c r="F39" s="16"/>
      <c r="G39" s="16">
        <f t="shared" si="9"/>
        <v>0</v>
      </c>
      <c r="H39" s="16"/>
      <c r="I39" s="16"/>
      <c r="J39" s="16"/>
      <c r="K39" s="16"/>
      <c r="L39" s="16"/>
      <c r="M39" s="16"/>
      <c r="N39" s="16">
        <f t="shared" si="1"/>
        <v>140000</v>
      </c>
    </row>
    <row r="40" spans="1:14" ht="28.5">
      <c r="A40" s="25" t="s">
        <v>130</v>
      </c>
      <c r="B40" s="9">
        <v>120201</v>
      </c>
      <c r="C40" s="10" t="s">
        <v>66</v>
      </c>
      <c r="D40" s="16">
        <f>140000</f>
        <v>140000</v>
      </c>
      <c r="E40" s="16"/>
      <c r="F40" s="16"/>
      <c r="G40" s="16">
        <f t="shared" si="9"/>
        <v>0</v>
      </c>
      <c r="H40" s="16"/>
      <c r="I40" s="16"/>
      <c r="J40" s="16"/>
      <c r="K40" s="16"/>
      <c r="L40" s="16"/>
      <c r="M40" s="16"/>
      <c r="N40" s="16">
        <f aca="true" t="shared" si="12" ref="N40:N59">D40+G40</f>
        <v>140000</v>
      </c>
    </row>
    <row r="41" spans="1:14" ht="15">
      <c r="A41" s="25"/>
      <c r="B41" s="8">
        <v>130000</v>
      </c>
      <c r="C41" s="7" t="s">
        <v>21</v>
      </c>
      <c r="D41" s="15">
        <f>D42</f>
        <v>155309.01</v>
      </c>
      <c r="E41" s="15">
        <f>E42</f>
        <v>0</v>
      </c>
      <c r="F41" s="15">
        <f>F42</f>
        <v>0</v>
      </c>
      <c r="G41" s="15">
        <f t="shared" si="9"/>
        <v>0</v>
      </c>
      <c r="H41" s="15">
        <f aca="true" t="shared" si="13" ref="H41:M41">H42</f>
        <v>0</v>
      </c>
      <c r="I41" s="15">
        <f t="shared" si="13"/>
        <v>0</v>
      </c>
      <c r="J41" s="15">
        <f t="shared" si="13"/>
        <v>0</v>
      </c>
      <c r="K41" s="15">
        <f t="shared" si="13"/>
        <v>0</v>
      </c>
      <c r="L41" s="15">
        <f t="shared" si="13"/>
        <v>0</v>
      </c>
      <c r="M41" s="15">
        <f t="shared" si="13"/>
        <v>0</v>
      </c>
      <c r="N41" s="15">
        <f t="shared" si="12"/>
        <v>155309.01</v>
      </c>
    </row>
    <row r="42" spans="1:14" ht="28.5">
      <c r="A42" s="25" t="s">
        <v>131</v>
      </c>
      <c r="B42" s="9">
        <v>130102</v>
      </c>
      <c r="C42" s="10" t="s">
        <v>22</v>
      </c>
      <c r="D42" s="16">
        <f>100000+5309.01+50000</f>
        <v>155309.01</v>
      </c>
      <c r="E42" s="16"/>
      <c r="F42" s="16"/>
      <c r="G42" s="16">
        <f t="shared" si="9"/>
        <v>0</v>
      </c>
      <c r="H42" s="16"/>
      <c r="I42" s="16"/>
      <c r="J42" s="16"/>
      <c r="K42" s="16"/>
      <c r="L42" s="16"/>
      <c r="M42" s="16"/>
      <c r="N42" s="16">
        <f t="shared" si="12"/>
        <v>155309.01</v>
      </c>
    </row>
    <row r="43" spans="1:14" ht="15">
      <c r="A43" s="25"/>
      <c r="B43" s="8">
        <v>150000</v>
      </c>
      <c r="C43" s="7" t="s">
        <v>94</v>
      </c>
      <c r="D43" s="15">
        <f>SUM(D44:D44)</f>
        <v>0</v>
      </c>
      <c r="E43" s="15">
        <f>SUM(E44:E44)</f>
        <v>0</v>
      </c>
      <c r="F43" s="15">
        <f>SUM(F44:F44)</f>
        <v>0</v>
      </c>
      <c r="G43" s="15">
        <f aca="true" t="shared" si="14" ref="G43:M43">SUM(G44:G45)</f>
        <v>1367585.02</v>
      </c>
      <c r="H43" s="15">
        <f t="shared" si="14"/>
        <v>0</v>
      </c>
      <c r="I43" s="15">
        <f t="shared" si="14"/>
        <v>0</v>
      </c>
      <c r="J43" s="15">
        <f t="shared" si="14"/>
        <v>0</v>
      </c>
      <c r="K43" s="15">
        <f t="shared" si="14"/>
        <v>1367585.02</v>
      </c>
      <c r="L43" s="15">
        <f t="shared" si="14"/>
        <v>1214585.02</v>
      </c>
      <c r="M43" s="15">
        <f t="shared" si="14"/>
        <v>0</v>
      </c>
      <c r="N43" s="15">
        <f t="shared" si="12"/>
        <v>1367585.02</v>
      </c>
    </row>
    <row r="44" spans="1:14" ht="15">
      <c r="A44" s="25" t="s">
        <v>139</v>
      </c>
      <c r="B44" s="9">
        <v>150101</v>
      </c>
      <c r="C44" s="10" t="s">
        <v>95</v>
      </c>
      <c r="D44" s="16"/>
      <c r="E44" s="16"/>
      <c r="F44" s="16"/>
      <c r="G44" s="16">
        <f>H44+K44</f>
        <v>870988.03</v>
      </c>
      <c r="H44" s="16"/>
      <c r="I44" s="16"/>
      <c r="J44" s="16"/>
      <c r="K44" s="19">
        <f>2199005+220000+235590-220000-590395.06-105245-800000-85129.94-12000-188305-10000-86300-91350-50000+123468.03+161650+170000</f>
        <v>870988.03</v>
      </c>
      <c r="L44" s="19">
        <f>2199005+220000+235590-220000-590395.06-105245-800000-85129.94-12000-188305-10000-86300-91350-50000+123468.03+161650+17000</f>
        <v>717988.03</v>
      </c>
      <c r="M44" s="16"/>
      <c r="N44" s="16">
        <f t="shared" si="12"/>
        <v>870988.03</v>
      </c>
    </row>
    <row r="45" spans="1:14" ht="28.5">
      <c r="A45" s="25" t="s">
        <v>140</v>
      </c>
      <c r="B45" s="9">
        <v>150202</v>
      </c>
      <c r="C45" s="10" t="s">
        <v>112</v>
      </c>
      <c r="D45" s="19"/>
      <c r="E45" s="19"/>
      <c r="F45" s="19"/>
      <c r="G45" s="19">
        <f>H45+K45</f>
        <v>496596.99</v>
      </c>
      <c r="H45" s="19"/>
      <c r="I45" s="19"/>
      <c r="J45" s="19"/>
      <c r="K45" s="19">
        <f>57592+188305+85129.94+25570.05+75000+65000</f>
        <v>496596.99</v>
      </c>
      <c r="L45" s="19">
        <f>57592+188305+85129.94+25570.05+75000+65000</f>
        <v>496596.99</v>
      </c>
      <c r="M45" s="19"/>
      <c r="N45" s="19">
        <f t="shared" si="12"/>
        <v>496596.99</v>
      </c>
    </row>
    <row r="46" spans="1:14" ht="45">
      <c r="A46" s="25"/>
      <c r="B46" s="8">
        <v>170000</v>
      </c>
      <c r="C46" s="7" t="s">
        <v>23</v>
      </c>
      <c r="D46" s="15">
        <f>D47</f>
        <v>0</v>
      </c>
      <c r="E46" s="15">
        <f>E47</f>
        <v>0</v>
      </c>
      <c r="F46" s="15">
        <f>F47</f>
        <v>0</v>
      </c>
      <c r="G46" s="15">
        <f t="shared" si="9"/>
        <v>3939779</v>
      </c>
      <c r="H46" s="15">
        <f aca="true" t="shared" si="15" ref="H46:M46">H47</f>
        <v>1841510.2</v>
      </c>
      <c r="I46" s="15">
        <f t="shared" si="15"/>
        <v>0</v>
      </c>
      <c r="J46" s="15">
        <f t="shared" si="15"/>
        <v>0</v>
      </c>
      <c r="K46" s="15">
        <f t="shared" si="15"/>
        <v>2098268.8</v>
      </c>
      <c r="L46" s="15">
        <f t="shared" si="15"/>
        <v>0</v>
      </c>
      <c r="M46" s="15">
        <f t="shared" si="15"/>
        <v>0</v>
      </c>
      <c r="N46" s="15">
        <f t="shared" si="12"/>
        <v>3939779</v>
      </c>
    </row>
    <row r="47" spans="1:14" ht="57">
      <c r="A47" s="25" t="s">
        <v>125</v>
      </c>
      <c r="B47" s="9">
        <v>170703</v>
      </c>
      <c r="C47" s="10" t="s">
        <v>24</v>
      </c>
      <c r="D47" s="16"/>
      <c r="E47" s="16"/>
      <c r="F47" s="16"/>
      <c r="G47" s="16">
        <f t="shared" si="9"/>
        <v>3939779</v>
      </c>
      <c r="H47" s="16">
        <f>2169000+323400+46000-1475900+47179+468431.2+263400</f>
        <v>1841510.2</v>
      </c>
      <c r="I47" s="16"/>
      <c r="J47" s="16"/>
      <c r="K47" s="16">
        <f>1475900+560800+61568.8</f>
        <v>2098268.8</v>
      </c>
      <c r="L47" s="16"/>
      <c r="M47" s="16"/>
      <c r="N47" s="16">
        <f t="shared" si="12"/>
        <v>3939779</v>
      </c>
    </row>
    <row r="48" spans="1:14" ht="71.25">
      <c r="A48" s="25" t="s">
        <v>125</v>
      </c>
      <c r="B48" s="9">
        <v>170703</v>
      </c>
      <c r="C48" s="11" t="s">
        <v>118</v>
      </c>
      <c r="D48" s="16"/>
      <c r="E48" s="16"/>
      <c r="F48" s="16"/>
      <c r="G48" s="16">
        <f t="shared" si="9"/>
        <v>247752</v>
      </c>
      <c r="H48" s="16"/>
      <c r="I48" s="16"/>
      <c r="J48" s="16"/>
      <c r="K48" s="16">
        <f>247752</f>
        <v>247752</v>
      </c>
      <c r="L48" s="16"/>
      <c r="M48" s="16"/>
      <c r="N48" s="16">
        <f t="shared" si="12"/>
        <v>247752</v>
      </c>
    </row>
    <row r="49" spans="1:14" ht="30">
      <c r="A49" s="25"/>
      <c r="B49" s="8">
        <v>180000</v>
      </c>
      <c r="C49" s="7" t="s">
        <v>113</v>
      </c>
      <c r="D49" s="20">
        <f>D50</f>
        <v>0</v>
      </c>
      <c r="E49" s="20">
        <f aca="true" t="shared" si="16" ref="E49:M49">E50</f>
        <v>0</v>
      </c>
      <c r="F49" s="20">
        <f t="shared" si="16"/>
        <v>0</v>
      </c>
      <c r="G49" s="20">
        <f t="shared" si="16"/>
        <v>171681</v>
      </c>
      <c r="H49" s="20">
        <f t="shared" si="16"/>
        <v>0</v>
      </c>
      <c r="I49" s="20">
        <f t="shared" si="16"/>
        <v>0</v>
      </c>
      <c r="J49" s="20">
        <f t="shared" si="16"/>
        <v>0</v>
      </c>
      <c r="K49" s="20">
        <f t="shared" si="16"/>
        <v>171681</v>
      </c>
      <c r="L49" s="20">
        <f t="shared" si="16"/>
        <v>171681</v>
      </c>
      <c r="M49" s="20">
        <f t="shared" si="16"/>
        <v>171681</v>
      </c>
      <c r="N49" s="20">
        <f t="shared" si="12"/>
        <v>171681</v>
      </c>
    </row>
    <row r="50" spans="1:14" ht="71.25">
      <c r="A50" s="25" t="s">
        <v>124</v>
      </c>
      <c r="B50" s="21">
        <v>180409</v>
      </c>
      <c r="C50" s="22" t="s">
        <v>114</v>
      </c>
      <c r="D50" s="19"/>
      <c r="E50" s="19"/>
      <c r="F50" s="19"/>
      <c r="G50" s="19">
        <f>H50+K50</f>
        <v>171681</v>
      </c>
      <c r="H50" s="19"/>
      <c r="I50" s="19"/>
      <c r="J50" s="19"/>
      <c r="K50" s="19">
        <f>L50</f>
        <v>171681</v>
      </c>
      <c r="L50" s="19">
        <f>171681</f>
        <v>171681</v>
      </c>
      <c r="M50" s="19">
        <f>171681</f>
        <v>171681</v>
      </c>
      <c r="N50" s="19">
        <f t="shared" si="12"/>
        <v>171681</v>
      </c>
    </row>
    <row r="51" spans="1:14" ht="45">
      <c r="A51" s="25"/>
      <c r="B51" s="8">
        <v>210000</v>
      </c>
      <c r="C51" s="7" t="s">
        <v>25</v>
      </c>
      <c r="D51" s="15">
        <f>SUM(D52:D55)-D54</f>
        <v>231899.54</v>
      </c>
      <c r="E51" s="15">
        <f aca="true" t="shared" si="17" ref="E51:N51">SUM(E52:E55)-E54</f>
        <v>0</v>
      </c>
      <c r="F51" s="15">
        <f t="shared" si="17"/>
        <v>0</v>
      </c>
      <c r="G51" s="15">
        <f t="shared" si="17"/>
        <v>63198</v>
      </c>
      <c r="H51" s="15">
        <f t="shared" si="17"/>
        <v>0</v>
      </c>
      <c r="I51" s="15">
        <f t="shared" si="17"/>
        <v>0</v>
      </c>
      <c r="J51" s="15">
        <f t="shared" si="17"/>
        <v>0</v>
      </c>
      <c r="K51" s="15">
        <f t="shared" si="17"/>
        <v>63198</v>
      </c>
      <c r="L51" s="15">
        <f t="shared" si="17"/>
        <v>63198</v>
      </c>
      <c r="M51" s="15">
        <f t="shared" si="17"/>
        <v>33198</v>
      </c>
      <c r="N51" s="15">
        <f t="shared" si="17"/>
        <v>295097.54000000004</v>
      </c>
    </row>
    <row r="52" spans="1:14" ht="42.75">
      <c r="A52" s="25"/>
      <c r="B52" s="9">
        <v>210105</v>
      </c>
      <c r="C52" s="10" t="s">
        <v>111</v>
      </c>
      <c r="D52" s="19">
        <f>7321.85+25000+5408.69+23289</f>
        <v>61019.54</v>
      </c>
      <c r="E52" s="19"/>
      <c r="F52" s="19"/>
      <c r="G52" s="19">
        <f>H52+K52</f>
        <v>33198</v>
      </c>
      <c r="H52" s="19"/>
      <c r="I52" s="19"/>
      <c r="J52" s="19"/>
      <c r="K52" s="19">
        <f>13200+19998</f>
        <v>33198</v>
      </c>
      <c r="L52" s="19">
        <f>13200+19998</f>
        <v>33198</v>
      </c>
      <c r="M52" s="19">
        <f>13200+19998</f>
        <v>33198</v>
      </c>
      <c r="N52" s="19">
        <f t="shared" si="12"/>
        <v>94217.54000000001</v>
      </c>
    </row>
    <row r="53" spans="1:14" ht="57">
      <c r="A53" s="25"/>
      <c r="B53" s="9">
        <v>210106</v>
      </c>
      <c r="C53" s="23" t="s">
        <v>116</v>
      </c>
      <c r="D53" s="19">
        <f>20880</f>
        <v>20880</v>
      </c>
      <c r="E53" s="19"/>
      <c r="F53" s="19"/>
      <c r="G53" s="19">
        <f>H53+K53</f>
        <v>30000</v>
      </c>
      <c r="H53" s="19"/>
      <c r="I53" s="19"/>
      <c r="J53" s="19"/>
      <c r="K53" s="19">
        <f>24348+5652</f>
        <v>30000</v>
      </c>
      <c r="L53" s="19">
        <f>24348+5652</f>
        <v>30000</v>
      </c>
      <c r="M53" s="19"/>
      <c r="N53" s="19">
        <f>D53+G53</f>
        <v>50880</v>
      </c>
    </row>
    <row r="54" spans="1:14" ht="15">
      <c r="A54" s="25"/>
      <c r="B54" s="9">
        <v>210106</v>
      </c>
      <c r="C54" s="10" t="s">
        <v>64</v>
      </c>
      <c r="D54" s="19">
        <f>20880</f>
        <v>20880</v>
      </c>
      <c r="E54" s="19"/>
      <c r="F54" s="19"/>
      <c r="G54" s="19">
        <f>H54+K54</f>
        <v>0</v>
      </c>
      <c r="H54" s="19"/>
      <c r="I54" s="19"/>
      <c r="J54" s="19"/>
      <c r="K54" s="19"/>
      <c r="L54" s="19"/>
      <c r="M54" s="19"/>
      <c r="N54" s="19">
        <f>D54+G54</f>
        <v>20880</v>
      </c>
    </row>
    <row r="55" spans="1:14" ht="28.5">
      <c r="A55" s="25" t="s">
        <v>141</v>
      </c>
      <c r="B55" s="9">
        <v>210110</v>
      </c>
      <c r="C55" s="10" t="s">
        <v>26</v>
      </c>
      <c r="D55" s="19">
        <f>150000</f>
        <v>150000</v>
      </c>
      <c r="E55" s="16"/>
      <c r="F55" s="16"/>
      <c r="G55" s="16">
        <f t="shared" si="9"/>
        <v>0</v>
      </c>
      <c r="H55" s="16"/>
      <c r="I55" s="16"/>
      <c r="J55" s="16"/>
      <c r="K55" s="16">
        <f>L55</f>
        <v>0</v>
      </c>
      <c r="L55" s="16"/>
      <c r="M55" s="16"/>
      <c r="N55" s="16">
        <f t="shared" si="12"/>
        <v>150000</v>
      </c>
    </row>
    <row r="56" spans="1:14" ht="15">
      <c r="A56" s="25"/>
      <c r="B56" s="8">
        <v>240000</v>
      </c>
      <c r="C56" s="7" t="s">
        <v>27</v>
      </c>
      <c r="D56" s="15">
        <f>D57+D59+D62</f>
        <v>0</v>
      </c>
      <c r="E56" s="15">
        <f aca="true" t="shared" si="18" ref="E56:M56">E57+E59+E62</f>
        <v>0</v>
      </c>
      <c r="F56" s="15">
        <f t="shared" si="18"/>
        <v>0</v>
      </c>
      <c r="G56" s="15">
        <f t="shared" si="18"/>
        <v>464927</v>
      </c>
      <c r="H56" s="15">
        <f t="shared" si="18"/>
        <v>96600</v>
      </c>
      <c r="I56" s="15">
        <f t="shared" si="18"/>
        <v>0</v>
      </c>
      <c r="J56" s="15">
        <f t="shared" si="18"/>
        <v>0</v>
      </c>
      <c r="K56" s="15">
        <f t="shared" si="18"/>
        <v>368327</v>
      </c>
      <c r="L56" s="15">
        <f t="shared" si="18"/>
        <v>0</v>
      </c>
      <c r="M56" s="15">
        <f t="shared" si="18"/>
        <v>0</v>
      </c>
      <c r="N56" s="15">
        <f t="shared" si="12"/>
        <v>464927</v>
      </c>
    </row>
    <row r="57" spans="1:14" ht="42.75">
      <c r="A57" s="25" t="s">
        <v>142</v>
      </c>
      <c r="B57" s="9">
        <v>240601</v>
      </c>
      <c r="C57" s="10" t="s">
        <v>70</v>
      </c>
      <c r="D57" s="16"/>
      <c r="E57" s="16"/>
      <c r="F57" s="16"/>
      <c r="G57" s="16">
        <f t="shared" si="9"/>
        <v>60000</v>
      </c>
      <c r="H57" s="16">
        <f>SUM(H58:H58)</f>
        <v>60000</v>
      </c>
      <c r="I57" s="16"/>
      <c r="J57" s="16"/>
      <c r="K57" s="16"/>
      <c r="L57" s="16"/>
      <c r="M57" s="16"/>
      <c r="N57" s="16">
        <f t="shared" si="12"/>
        <v>60000</v>
      </c>
    </row>
    <row r="58" spans="1:14" ht="28.5">
      <c r="A58" s="25"/>
      <c r="B58" s="9">
        <v>240601</v>
      </c>
      <c r="C58" s="10" t="s">
        <v>58</v>
      </c>
      <c r="D58" s="16"/>
      <c r="E58" s="16"/>
      <c r="F58" s="16"/>
      <c r="G58" s="16">
        <f t="shared" si="9"/>
        <v>60000</v>
      </c>
      <c r="H58" s="16">
        <f>60000</f>
        <v>60000</v>
      </c>
      <c r="I58" s="16"/>
      <c r="J58" s="16"/>
      <c r="K58" s="16"/>
      <c r="L58" s="16"/>
      <c r="M58" s="16"/>
      <c r="N58" s="16">
        <f t="shared" si="12"/>
        <v>60000</v>
      </c>
    </row>
    <row r="59" spans="1:14" ht="15">
      <c r="A59" s="25" t="s">
        <v>142</v>
      </c>
      <c r="B59" s="9">
        <v>240602</v>
      </c>
      <c r="C59" s="10" t="s">
        <v>71</v>
      </c>
      <c r="D59" s="16"/>
      <c r="E59" s="16"/>
      <c r="F59" s="16"/>
      <c r="G59" s="16">
        <f t="shared" si="9"/>
        <v>281219</v>
      </c>
      <c r="H59" s="16">
        <f>SUM(H60:H61)</f>
        <v>36600</v>
      </c>
      <c r="I59" s="16"/>
      <c r="J59" s="16"/>
      <c r="K59" s="16">
        <f>SUM(K60:K61)</f>
        <v>244619</v>
      </c>
      <c r="L59" s="16"/>
      <c r="M59" s="16"/>
      <c r="N59" s="16">
        <f t="shared" si="12"/>
        <v>281219</v>
      </c>
    </row>
    <row r="60" spans="1:14" ht="15">
      <c r="A60" s="25"/>
      <c r="B60" s="9">
        <v>240602</v>
      </c>
      <c r="C60" s="10" t="s">
        <v>64</v>
      </c>
      <c r="D60" s="16"/>
      <c r="E60" s="16"/>
      <c r="F60" s="16"/>
      <c r="G60" s="16">
        <f t="shared" si="9"/>
        <v>233319</v>
      </c>
      <c r="H60" s="16"/>
      <c r="I60" s="16"/>
      <c r="J60" s="16"/>
      <c r="K60" s="16">
        <f>40000+193319</f>
        <v>233319</v>
      </c>
      <c r="L60" s="16"/>
      <c r="M60" s="16"/>
      <c r="N60" s="16">
        <f aca="true" t="shared" si="19" ref="N60:N91">D60+G60</f>
        <v>233319</v>
      </c>
    </row>
    <row r="61" spans="1:14" ht="15">
      <c r="A61" s="25"/>
      <c r="B61" s="9">
        <v>240602</v>
      </c>
      <c r="C61" s="10" t="s">
        <v>54</v>
      </c>
      <c r="D61" s="16"/>
      <c r="E61" s="16"/>
      <c r="F61" s="16"/>
      <c r="G61" s="16">
        <f>H61+K61</f>
        <v>47900</v>
      </c>
      <c r="H61" s="16">
        <f>35700+900</f>
        <v>36600</v>
      </c>
      <c r="I61" s="16"/>
      <c r="J61" s="16"/>
      <c r="K61" s="16">
        <f>11300</f>
        <v>11300</v>
      </c>
      <c r="L61" s="16"/>
      <c r="M61" s="16"/>
      <c r="N61" s="16">
        <f t="shared" si="19"/>
        <v>47900</v>
      </c>
    </row>
    <row r="62" spans="1:14" ht="57">
      <c r="A62" s="25"/>
      <c r="B62" s="9">
        <v>240900</v>
      </c>
      <c r="C62" s="10" t="s">
        <v>189</v>
      </c>
      <c r="D62" s="16"/>
      <c r="E62" s="16"/>
      <c r="F62" s="16"/>
      <c r="G62" s="16">
        <f>H62+K62</f>
        <v>123708</v>
      </c>
      <c r="H62" s="16"/>
      <c r="I62" s="16"/>
      <c r="J62" s="16"/>
      <c r="K62" s="16">
        <f>123708</f>
        <v>123708</v>
      </c>
      <c r="L62" s="16"/>
      <c r="M62" s="16"/>
      <c r="N62" s="16">
        <f t="shared" si="19"/>
        <v>123708</v>
      </c>
    </row>
    <row r="63" spans="1:14" ht="30">
      <c r="A63" s="25"/>
      <c r="B63" s="8">
        <v>250000</v>
      </c>
      <c r="C63" s="7" t="s">
        <v>28</v>
      </c>
      <c r="D63" s="15">
        <f>SUM(D64:D65)</f>
        <v>390965.25</v>
      </c>
      <c r="E63" s="15">
        <f aca="true" t="shared" si="20" ref="E63:M63">SUM(E64:E65)</f>
        <v>0</v>
      </c>
      <c r="F63" s="15">
        <f t="shared" si="20"/>
        <v>0</v>
      </c>
      <c r="G63" s="15">
        <f t="shared" si="20"/>
        <v>800000</v>
      </c>
      <c r="H63" s="15">
        <f t="shared" si="20"/>
        <v>0</v>
      </c>
      <c r="I63" s="15">
        <f t="shared" si="20"/>
        <v>0</v>
      </c>
      <c r="J63" s="15">
        <f t="shared" si="20"/>
        <v>0</v>
      </c>
      <c r="K63" s="15">
        <f t="shared" si="20"/>
        <v>800000</v>
      </c>
      <c r="L63" s="15">
        <f t="shared" si="20"/>
        <v>800000</v>
      </c>
      <c r="M63" s="15">
        <f t="shared" si="20"/>
        <v>0</v>
      </c>
      <c r="N63" s="15">
        <f t="shared" si="19"/>
        <v>1190965.25</v>
      </c>
    </row>
    <row r="64" spans="1:14" ht="15">
      <c r="A64" s="25" t="s">
        <v>143</v>
      </c>
      <c r="B64" s="9">
        <v>250404</v>
      </c>
      <c r="C64" s="10" t="s">
        <v>29</v>
      </c>
      <c r="D64" s="16">
        <f>300000+90965.25</f>
        <v>390965.25</v>
      </c>
      <c r="E64" s="16"/>
      <c r="F64" s="16"/>
      <c r="G64" s="16">
        <f t="shared" si="9"/>
        <v>0</v>
      </c>
      <c r="H64" s="16"/>
      <c r="I64" s="16"/>
      <c r="J64" s="16"/>
      <c r="K64" s="16">
        <f>L64</f>
        <v>0</v>
      </c>
      <c r="L64" s="16"/>
      <c r="M64" s="16"/>
      <c r="N64" s="16">
        <f t="shared" si="19"/>
        <v>390965.25</v>
      </c>
    </row>
    <row r="65" spans="1:14" ht="57">
      <c r="A65" s="25"/>
      <c r="B65" s="9">
        <v>250344</v>
      </c>
      <c r="C65" s="24" t="s">
        <v>117</v>
      </c>
      <c r="D65" s="19"/>
      <c r="E65" s="19"/>
      <c r="F65" s="19"/>
      <c r="G65" s="19">
        <f>800000</f>
        <v>800000</v>
      </c>
      <c r="H65" s="19"/>
      <c r="I65" s="19"/>
      <c r="J65" s="19"/>
      <c r="K65" s="19">
        <f>800000</f>
        <v>800000</v>
      </c>
      <c r="L65" s="19">
        <f>800000</f>
        <v>800000</v>
      </c>
      <c r="M65" s="19"/>
      <c r="N65" s="19">
        <f t="shared" si="19"/>
        <v>800000</v>
      </c>
    </row>
    <row r="66" spans="1:14" ht="30">
      <c r="A66" s="25"/>
      <c r="B66" s="6">
        <v>10</v>
      </c>
      <c r="C66" s="7" t="s">
        <v>30</v>
      </c>
      <c r="D66" s="15">
        <f>D67+D77+D75+D79</f>
        <v>40923617.019999996</v>
      </c>
      <c r="E66" s="15">
        <f>E67+E77+E75</f>
        <v>24439894</v>
      </c>
      <c r="F66" s="15">
        <f>F67+F77+F75</f>
        <v>5412017</v>
      </c>
      <c r="G66" s="15">
        <f t="shared" si="9"/>
        <v>2402095.06</v>
      </c>
      <c r="H66" s="15">
        <f>H67+H77</f>
        <v>1621240</v>
      </c>
      <c r="I66" s="15">
        <f>I67+I77+I75</f>
        <v>233915</v>
      </c>
      <c r="J66" s="15">
        <f>J67+J77+J75</f>
        <v>10142</v>
      </c>
      <c r="K66" s="15">
        <f>K67+K77+K75</f>
        <v>780855.06</v>
      </c>
      <c r="L66" s="15">
        <f>L67+L77+L75</f>
        <v>698255.06</v>
      </c>
      <c r="M66" s="15">
        <f>M67+M77+M75</f>
        <v>5680</v>
      </c>
      <c r="N66" s="15">
        <f t="shared" si="19"/>
        <v>43325712.08</v>
      </c>
    </row>
    <row r="67" spans="1:14" ht="15">
      <c r="A67" s="25"/>
      <c r="B67" s="8">
        <v>70000</v>
      </c>
      <c r="C67" s="7" t="s">
        <v>31</v>
      </c>
      <c r="D67" s="15">
        <f>SUM(D68:D74)</f>
        <v>39996564.099999994</v>
      </c>
      <c r="E67" s="15">
        <f aca="true" t="shared" si="21" ref="E67:M67">SUM(E68:E74)</f>
        <v>23905473</v>
      </c>
      <c r="F67" s="15">
        <f t="shared" si="21"/>
        <v>5320096</v>
      </c>
      <c r="G67" s="15">
        <f t="shared" si="21"/>
        <v>2282095.06</v>
      </c>
      <c r="H67" s="15">
        <f t="shared" si="21"/>
        <v>1621240</v>
      </c>
      <c r="I67" s="15">
        <f t="shared" si="21"/>
        <v>233915</v>
      </c>
      <c r="J67" s="15">
        <f t="shared" si="21"/>
        <v>10142</v>
      </c>
      <c r="K67" s="15">
        <f t="shared" si="21"/>
        <v>660855.06</v>
      </c>
      <c r="L67" s="15">
        <f t="shared" si="21"/>
        <v>578255.06</v>
      </c>
      <c r="M67" s="15">
        <f t="shared" si="21"/>
        <v>5680</v>
      </c>
      <c r="N67" s="15">
        <f t="shared" si="19"/>
        <v>42278659.16</v>
      </c>
    </row>
    <row r="68" spans="1:14" ht="15">
      <c r="A68" s="25" t="s">
        <v>144</v>
      </c>
      <c r="B68" s="9">
        <v>70101</v>
      </c>
      <c r="C68" s="10" t="s">
        <v>32</v>
      </c>
      <c r="D68" s="16">
        <f>12464460+242983.74+3126-60000+221370+35000</f>
        <v>12906939.74</v>
      </c>
      <c r="E68" s="16">
        <f>6893866+162400</f>
        <v>7056266</v>
      </c>
      <c r="F68" s="16">
        <f>2007735</f>
        <v>2007735</v>
      </c>
      <c r="G68" s="16">
        <f aca="true" t="shared" si="22" ref="G68:G76">H68+K68</f>
        <v>1094769</v>
      </c>
      <c r="H68" s="16">
        <f>969987</f>
        <v>969987</v>
      </c>
      <c r="I68" s="16">
        <f>30805</f>
        <v>30805</v>
      </c>
      <c r="J68" s="16"/>
      <c r="K68" s="16">
        <f>7900+81882+35000</f>
        <v>124782</v>
      </c>
      <c r="L68" s="16">
        <f>81882+35000</f>
        <v>116882</v>
      </c>
      <c r="M68" s="16"/>
      <c r="N68" s="16">
        <f t="shared" si="19"/>
        <v>14001708.74</v>
      </c>
    </row>
    <row r="69" spans="1:14" ht="57">
      <c r="A69" s="25" t="s">
        <v>144</v>
      </c>
      <c r="B69" s="9">
        <v>70201</v>
      </c>
      <c r="C69" s="10" t="s">
        <v>33</v>
      </c>
      <c r="D69" s="19">
        <f>22988123+48443.09+2084+60000+490900+36408</f>
        <v>23625958.09</v>
      </c>
      <c r="E69" s="19">
        <f>14232508-51400+360200</f>
        <v>14541308</v>
      </c>
      <c r="F69" s="19">
        <f>3206221</f>
        <v>3206221</v>
      </c>
      <c r="G69" s="19">
        <f t="shared" si="22"/>
        <v>729793.06</v>
      </c>
      <c r="H69" s="19">
        <f>241420</f>
        <v>241420</v>
      </c>
      <c r="I69" s="19">
        <f>66030</f>
        <v>66030</v>
      </c>
      <c r="J69" s="19"/>
      <c r="K69" s="19">
        <f>27000+5680+388513.06+67180</f>
        <v>488373.06</v>
      </c>
      <c r="L69" s="19">
        <f>388513.06+5680+67180</f>
        <v>461373.06</v>
      </c>
      <c r="M69" s="19">
        <f>5680</f>
        <v>5680</v>
      </c>
      <c r="N69" s="16">
        <f t="shared" si="19"/>
        <v>24355751.15</v>
      </c>
    </row>
    <row r="70" spans="1:14" ht="28.5">
      <c r="A70" s="25" t="s">
        <v>145</v>
      </c>
      <c r="B70" s="9">
        <v>70401</v>
      </c>
      <c r="C70" s="10" t="s">
        <v>34</v>
      </c>
      <c r="D70" s="16">
        <f>1060612+818.26+89959-956+23500</f>
        <v>1173933.26</v>
      </c>
      <c r="E70" s="16">
        <f>775135</f>
        <v>775135</v>
      </c>
      <c r="F70" s="16">
        <f>1162</f>
        <v>1162</v>
      </c>
      <c r="G70" s="16">
        <f t="shared" si="22"/>
        <v>0</v>
      </c>
      <c r="H70" s="16"/>
      <c r="I70" s="16"/>
      <c r="J70" s="16"/>
      <c r="K70" s="16">
        <f>L70</f>
        <v>0</v>
      </c>
      <c r="L70" s="16"/>
      <c r="M70" s="16"/>
      <c r="N70" s="16">
        <f t="shared" si="19"/>
        <v>1173933.26</v>
      </c>
    </row>
    <row r="71" spans="1:14" ht="28.5">
      <c r="A71" s="25" t="s">
        <v>146</v>
      </c>
      <c r="B71" s="9">
        <v>70802</v>
      </c>
      <c r="C71" s="10" t="s">
        <v>35</v>
      </c>
      <c r="D71" s="16">
        <f>507869+3641.76+13800</f>
        <v>525310.76</v>
      </c>
      <c r="E71" s="16">
        <f>331178+10100</f>
        <v>341278</v>
      </c>
      <c r="F71" s="16">
        <f>37172</f>
        <v>37172</v>
      </c>
      <c r="G71" s="16">
        <f t="shared" si="22"/>
        <v>0</v>
      </c>
      <c r="H71" s="16"/>
      <c r="I71" s="16"/>
      <c r="J71" s="16"/>
      <c r="K71" s="16"/>
      <c r="L71" s="16"/>
      <c r="M71" s="16"/>
      <c r="N71" s="16">
        <f t="shared" si="19"/>
        <v>525310.76</v>
      </c>
    </row>
    <row r="72" spans="1:14" ht="28.5">
      <c r="A72" s="25" t="s">
        <v>147</v>
      </c>
      <c r="B72" s="9">
        <v>70804</v>
      </c>
      <c r="C72" s="10" t="s">
        <v>36</v>
      </c>
      <c r="D72" s="16">
        <f>880614+1746.25</f>
        <v>882360.25</v>
      </c>
      <c r="E72" s="16">
        <f>617638</f>
        <v>617638</v>
      </c>
      <c r="F72" s="16"/>
      <c r="G72" s="16">
        <f t="shared" si="22"/>
        <v>0</v>
      </c>
      <c r="H72" s="16"/>
      <c r="I72" s="16"/>
      <c r="J72" s="16"/>
      <c r="K72" s="16"/>
      <c r="L72" s="16"/>
      <c r="M72" s="16"/>
      <c r="N72" s="16">
        <f t="shared" si="19"/>
        <v>882360.25</v>
      </c>
    </row>
    <row r="73" spans="1:14" ht="15">
      <c r="A73" s="25" t="s">
        <v>148</v>
      </c>
      <c r="B73" s="9">
        <v>70806</v>
      </c>
      <c r="C73" s="10" t="s">
        <v>37</v>
      </c>
      <c r="D73" s="16">
        <f>831800+60+21180</f>
        <v>853040</v>
      </c>
      <c r="E73" s="16">
        <f>558288+15560</f>
        <v>573848</v>
      </c>
      <c r="F73" s="16">
        <f>67806</f>
        <v>67806</v>
      </c>
      <c r="G73" s="16">
        <f t="shared" si="22"/>
        <v>457533</v>
      </c>
      <c r="H73" s="16">
        <f>409833</f>
        <v>409833</v>
      </c>
      <c r="I73" s="16">
        <f>137080</f>
        <v>137080</v>
      </c>
      <c r="J73" s="16">
        <f>10142</f>
        <v>10142</v>
      </c>
      <c r="K73" s="16">
        <f>47700</f>
        <v>47700</v>
      </c>
      <c r="L73" s="16"/>
      <c r="M73" s="16"/>
      <c r="N73" s="16">
        <f t="shared" si="19"/>
        <v>1310573</v>
      </c>
    </row>
    <row r="74" spans="1:14" ht="57">
      <c r="A74" s="25" t="s">
        <v>149</v>
      </c>
      <c r="B74" s="9">
        <v>70808</v>
      </c>
      <c r="C74" s="10" t="s">
        <v>38</v>
      </c>
      <c r="D74" s="16">
        <f>29022</f>
        <v>29022</v>
      </c>
      <c r="E74" s="16"/>
      <c r="F74" s="16"/>
      <c r="G74" s="16">
        <f t="shared" si="22"/>
        <v>0</v>
      </c>
      <c r="H74" s="16"/>
      <c r="I74" s="16"/>
      <c r="J74" s="16"/>
      <c r="K74" s="16"/>
      <c r="L74" s="16"/>
      <c r="M74" s="16"/>
      <c r="N74" s="16">
        <f t="shared" si="19"/>
        <v>29022</v>
      </c>
    </row>
    <row r="75" spans="1:14" ht="30">
      <c r="A75" s="25"/>
      <c r="B75" s="8">
        <v>90000</v>
      </c>
      <c r="C75" s="7" t="s">
        <v>13</v>
      </c>
      <c r="D75" s="15">
        <f>D76</f>
        <v>88480</v>
      </c>
      <c r="E75" s="15">
        <f>E76</f>
        <v>0</v>
      </c>
      <c r="F75" s="15">
        <f>F76</f>
        <v>0</v>
      </c>
      <c r="G75" s="15">
        <f>H75+K75</f>
        <v>0</v>
      </c>
      <c r="H75" s="15">
        <f aca="true" t="shared" si="23" ref="H75:M75">H76</f>
        <v>0</v>
      </c>
      <c r="I75" s="15">
        <f t="shared" si="23"/>
        <v>0</v>
      </c>
      <c r="J75" s="15">
        <f t="shared" si="23"/>
        <v>0</v>
      </c>
      <c r="K75" s="15">
        <f t="shared" si="23"/>
        <v>0</v>
      </c>
      <c r="L75" s="15">
        <f t="shared" si="23"/>
        <v>0</v>
      </c>
      <c r="M75" s="15">
        <f t="shared" si="23"/>
        <v>0</v>
      </c>
      <c r="N75" s="15">
        <f t="shared" si="19"/>
        <v>88480</v>
      </c>
    </row>
    <row r="76" spans="1:14" ht="99.75">
      <c r="A76" s="25" t="s">
        <v>150</v>
      </c>
      <c r="B76" s="9">
        <v>91108</v>
      </c>
      <c r="C76" s="12" t="s">
        <v>68</v>
      </c>
      <c r="D76" s="16">
        <f>50524+37000+956</f>
        <v>88480</v>
      </c>
      <c r="E76" s="16"/>
      <c r="F76" s="16"/>
      <c r="G76" s="16">
        <f t="shared" si="22"/>
        <v>0</v>
      </c>
      <c r="H76" s="16"/>
      <c r="I76" s="16"/>
      <c r="J76" s="16"/>
      <c r="K76" s="16"/>
      <c r="L76" s="16"/>
      <c r="M76" s="16"/>
      <c r="N76" s="16">
        <f t="shared" si="19"/>
        <v>88480</v>
      </c>
    </row>
    <row r="77" spans="1:14" ht="15">
      <c r="A77" s="25"/>
      <c r="B77" s="8">
        <v>130000</v>
      </c>
      <c r="C77" s="7" t="s">
        <v>21</v>
      </c>
      <c r="D77" s="15">
        <f>D78</f>
        <v>835648.92</v>
      </c>
      <c r="E77" s="15">
        <f>E78</f>
        <v>534421</v>
      </c>
      <c r="F77" s="15">
        <f>F78</f>
        <v>91921</v>
      </c>
      <c r="G77" s="15">
        <f aca="true" t="shared" si="24" ref="G77:G123">H77+K77</f>
        <v>120000</v>
      </c>
      <c r="H77" s="15">
        <f aca="true" t="shared" si="25" ref="H77:M77">H78</f>
        <v>0</v>
      </c>
      <c r="I77" s="15">
        <f t="shared" si="25"/>
        <v>0</v>
      </c>
      <c r="J77" s="15">
        <f t="shared" si="25"/>
        <v>0</v>
      </c>
      <c r="K77" s="15">
        <f t="shared" si="25"/>
        <v>120000</v>
      </c>
      <c r="L77" s="15">
        <f t="shared" si="25"/>
        <v>120000</v>
      </c>
      <c r="M77" s="15">
        <f t="shared" si="25"/>
        <v>0</v>
      </c>
      <c r="N77" s="15">
        <f t="shared" si="19"/>
        <v>955648.92</v>
      </c>
    </row>
    <row r="78" spans="1:14" ht="42.75">
      <c r="A78" s="25" t="s">
        <v>151</v>
      </c>
      <c r="B78" s="9">
        <v>130107</v>
      </c>
      <c r="C78" s="10" t="s">
        <v>106</v>
      </c>
      <c r="D78" s="19">
        <f>804308-1+6627.92+5920+18794</f>
        <v>835648.92</v>
      </c>
      <c r="E78" s="19">
        <f>520621+13800</f>
        <v>534421</v>
      </c>
      <c r="F78" s="19">
        <f>86001+5920</f>
        <v>91921</v>
      </c>
      <c r="G78" s="16">
        <f t="shared" si="24"/>
        <v>120000</v>
      </c>
      <c r="H78" s="16"/>
      <c r="I78" s="16"/>
      <c r="J78" s="16"/>
      <c r="K78" s="16">
        <f>L78</f>
        <v>120000</v>
      </c>
      <c r="L78" s="16">
        <f>120000</f>
        <v>120000</v>
      </c>
      <c r="M78" s="16"/>
      <c r="N78" s="16">
        <f t="shared" si="19"/>
        <v>955648.92</v>
      </c>
    </row>
    <row r="79" spans="1:14" ht="45">
      <c r="A79" s="25"/>
      <c r="B79" s="8">
        <v>210000</v>
      </c>
      <c r="C79" s="7" t="s">
        <v>25</v>
      </c>
      <c r="D79" s="20">
        <f>D80</f>
        <v>2924</v>
      </c>
      <c r="E79" s="20">
        <f aca="true" t="shared" si="26" ref="E79:M79">E80</f>
        <v>0</v>
      </c>
      <c r="F79" s="20">
        <f t="shared" si="26"/>
        <v>0</v>
      </c>
      <c r="G79" s="20">
        <f t="shared" si="26"/>
        <v>0</v>
      </c>
      <c r="H79" s="20">
        <f t="shared" si="26"/>
        <v>0</v>
      </c>
      <c r="I79" s="20">
        <f t="shared" si="26"/>
        <v>0</v>
      </c>
      <c r="J79" s="20">
        <f t="shared" si="26"/>
        <v>0</v>
      </c>
      <c r="K79" s="20">
        <f t="shared" si="26"/>
        <v>0</v>
      </c>
      <c r="L79" s="20">
        <f t="shared" si="26"/>
        <v>0</v>
      </c>
      <c r="M79" s="20">
        <f t="shared" si="26"/>
        <v>0</v>
      </c>
      <c r="N79" s="15">
        <f t="shared" si="19"/>
        <v>2924</v>
      </c>
    </row>
    <row r="80" spans="1:14" ht="57">
      <c r="A80" s="25"/>
      <c r="B80" s="9">
        <v>210106</v>
      </c>
      <c r="C80" s="23" t="s">
        <v>116</v>
      </c>
      <c r="D80" s="19">
        <f>2924</f>
        <v>2924</v>
      </c>
      <c r="E80" s="19"/>
      <c r="F80" s="19"/>
      <c r="G80" s="16">
        <f t="shared" si="24"/>
        <v>0</v>
      </c>
      <c r="H80" s="16"/>
      <c r="I80" s="16"/>
      <c r="J80" s="16"/>
      <c r="K80" s="16"/>
      <c r="L80" s="16"/>
      <c r="M80" s="16"/>
      <c r="N80" s="16">
        <f t="shared" si="19"/>
        <v>2924</v>
      </c>
    </row>
    <row r="81" spans="1:14" ht="45">
      <c r="A81" s="25"/>
      <c r="B81" s="6">
        <v>15</v>
      </c>
      <c r="C81" s="7" t="s">
        <v>39</v>
      </c>
      <c r="D81" s="15">
        <f aca="true" t="shared" si="27" ref="D81:N81">D82+D84+D115</f>
        <v>46548237.879999995</v>
      </c>
      <c r="E81" s="15">
        <f t="shared" si="27"/>
        <v>1399698</v>
      </c>
      <c r="F81" s="15">
        <f t="shared" si="27"/>
        <v>72345</v>
      </c>
      <c r="G81" s="15">
        <f t="shared" si="27"/>
        <v>296831</v>
      </c>
      <c r="H81" s="15">
        <f t="shared" si="27"/>
        <v>20000</v>
      </c>
      <c r="I81" s="15">
        <f t="shared" si="27"/>
        <v>6000</v>
      </c>
      <c r="J81" s="15">
        <f t="shared" si="27"/>
        <v>0</v>
      </c>
      <c r="K81" s="15">
        <f t="shared" si="27"/>
        <v>276831</v>
      </c>
      <c r="L81" s="15">
        <f t="shared" si="27"/>
        <v>271831</v>
      </c>
      <c r="M81" s="15">
        <f t="shared" si="27"/>
        <v>200000</v>
      </c>
      <c r="N81" s="15">
        <f t="shared" si="27"/>
        <v>46845068.879999995</v>
      </c>
    </row>
    <row r="82" spans="1:14" ht="15">
      <c r="A82" s="25"/>
      <c r="B82" s="8">
        <v>70000</v>
      </c>
      <c r="C82" s="7" t="s">
        <v>31</v>
      </c>
      <c r="D82" s="15">
        <f>D83</f>
        <v>240483</v>
      </c>
      <c r="E82" s="15"/>
      <c r="F82" s="15"/>
      <c r="G82" s="15">
        <f t="shared" si="24"/>
        <v>0</v>
      </c>
      <c r="H82" s="15"/>
      <c r="I82" s="15"/>
      <c r="J82" s="15"/>
      <c r="K82" s="15"/>
      <c r="L82" s="15"/>
      <c r="M82" s="15"/>
      <c r="N82" s="15">
        <f t="shared" si="19"/>
        <v>240483</v>
      </c>
    </row>
    <row r="83" spans="1:14" ht="28.5">
      <c r="A83" s="25" t="s">
        <v>152</v>
      </c>
      <c r="B83" s="9">
        <v>70303</v>
      </c>
      <c r="C83" s="10" t="s">
        <v>72</v>
      </c>
      <c r="D83" s="16">
        <f>235900+4583</f>
        <v>240483</v>
      </c>
      <c r="E83" s="16"/>
      <c r="F83" s="16"/>
      <c r="G83" s="16">
        <f>H83+K83</f>
        <v>0</v>
      </c>
      <c r="H83" s="16"/>
      <c r="I83" s="16"/>
      <c r="J83" s="16"/>
      <c r="K83" s="16"/>
      <c r="L83" s="16"/>
      <c r="M83" s="16"/>
      <c r="N83" s="16">
        <f t="shared" si="19"/>
        <v>240483</v>
      </c>
    </row>
    <row r="84" spans="1:14" ht="30">
      <c r="A84" s="25"/>
      <c r="B84" s="8">
        <v>90000</v>
      </c>
      <c r="C84" s="7" t="s">
        <v>13</v>
      </c>
      <c r="D84" s="15">
        <f>SUM(D85:D114)</f>
        <v>44923854.879999995</v>
      </c>
      <c r="E84" s="15">
        <f>SUM(E85:E114)</f>
        <v>1399698</v>
      </c>
      <c r="F84" s="15">
        <f>SUM(F85:F114)</f>
        <v>72345</v>
      </c>
      <c r="G84" s="15">
        <f t="shared" si="24"/>
        <v>296831</v>
      </c>
      <c r="H84" s="15">
        <f aca="true" t="shared" si="28" ref="H84:M84">SUM(H85:H114)</f>
        <v>20000</v>
      </c>
      <c r="I84" s="15">
        <f t="shared" si="28"/>
        <v>6000</v>
      </c>
      <c r="J84" s="15">
        <f t="shared" si="28"/>
        <v>0</v>
      </c>
      <c r="K84" s="15">
        <f t="shared" si="28"/>
        <v>276831</v>
      </c>
      <c r="L84" s="15">
        <f t="shared" si="28"/>
        <v>271831</v>
      </c>
      <c r="M84" s="15">
        <f t="shared" si="28"/>
        <v>200000</v>
      </c>
      <c r="N84" s="15">
        <f t="shared" si="19"/>
        <v>45220685.879999995</v>
      </c>
    </row>
    <row r="85" spans="1:14" ht="180.75" customHeight="1">
      <c r="A85" s="27" t="s">
        <v>153</v>
      </c>
      <c r="B85" s="9">
        <v>90201</v>
      </c>
      <c r="C85" s="11" t="s">
        <v>96</v>
      </c>
      <c r="D85" s="16">
        <v>4701700</v>
      </c>
      <c r="E85" s="16"/>
      <c r="F85" s="16"/>
      <c r="G85" s="16">
        <f t="shared" si="24"/>
        <v>0</v>
      </c>
      <c r="H85" s="16"/>
      <c r="I85" s="16"/>
      <c r="J85" s="16"/>
      <c r="K85" s="16"/>
      <c r="L85" s="16"/>
      <c r="M85" s="16"/>
      <c r="N85" s="16">
        <f t="shared" si="19"/>
        <v>4701700</v>
      </c>
    </row>
    <row r="86" spans="1:14" ht="112.5" customHeight="1">
      <c r="A86" s="27" t="s">
        <v>154</v>
      </c>
      <c r="B86" s="9">
        <v>90202</v>
      </c>
      <c r="C86" s="11" t="s">
        <v>97</v>
      </c>
      <c r="D86" s="16">
        <v>2000</v>
      </c>
      <c r="E86" s="16"/>
      <c r="F86" s="16"/>
      <c r="G86" s="16">
        <f t="shared" si="24"/>
        <v>0</v>
      </c>
      <c r="H86" s="16"/>
      <c r="I86" s="16"/>
      <c r="J86" s="16"/>
      <c r="K86" s="16"/>
      <c r="L86" s="16"/>
      <c r="M86" s="16"/>
      <c r="N86" s="16">
        <f t="shared" si="19"/>
        <v>2000</v>
      </c>
    </row>
    <row r="87" spans="1:14" ht="111" customHeight="1">
      <c r="A87" s="27" t="s">
        <v>155</v>
      </c>
      <c r="B87" s="9">
        <v>90203</v>
      </c>
      <c r="C87" s="11" t="s">
        <v>98</v>
      </c>
      <c r="D87" s="16">
        <v>69000</v>
      </c>
      <c r="E87" s="16"/>
      <c r="F87" s="16"/>
      <c r="G87" s="16">
        <f t="shared" si="24"/>
        <v>200000</v>
      </c>
      <c r="H87" s="16"/>
      <c r="I87" s="16"/>
      <c r="J87" s="16"/>
      <c r="K87" s="16">
        <f>L87</f>
        <v>200000</v>
      </c>
      <c r="L87" s="16">
        <f>M87</f>
        <v>200000</v>
      </c>
      <c r="M87" s="16">
        <f>200000</f>
        <v>200000</v>
      </c>
      <c r="N87" s="16">
        <f t="shared" si="19"/>
        <v>269000</v>
      </c>
    </row>
    <row r="88" spans="1:14" ht="87.75" customHeight="1">
      <c r="A88" s="27" t="s">
        <v>156</v>
      </c>
      <c r="B88" s="9">
        <v>90204</v>
      </c>
      <c r="C88" s="11" t="s">
        <v>99</v>
      </c>
      <c r="D88" s="16">
        <v>1711400</v>
      </c>
      <c r="E88" s="16"/>
      <c r="F88" s="16"/>
      <c r="G88" s="16">
        <f t="shared" si="24"/>
        <v>0</v>
      </c>
      <c r="H88" s="16"/>
      <c r="I88" s="16"/>
      <c r="J88" s="16"/>
      <c r="K88" s="16"/>
      <c r="L88" s="16"/>
      <c r="M88" s="16"/>
      <c r="N88" s="16">
        <f t="shared" si="19"/>
        <v>1711400</v>
      </c>
    </row>
    <row r="89" spans="1:14" ht="86.25" customHeight="1">
      <c r="A89" s="27" t="s">
        <v>157</v>
      </c>
      <c r="B89" s="9">
        <v>90207</v>
      </c>
      <c r="C89" s="11" t="s">
        <v>73</v>
      </c>
      <c r="D89" s="16">
        <v>155000</v>
      </c>
      <c r="E89" s="16"/>
      <c r="F89" s="16"/>
      <c r="G89" s="16">
        <f t="shared" si="24"/>
        <v>0</v>
      </c>
      <c r="H89" s="16"/>
      <c r="I89" s="16"/>
      <c r="J89" s="16"/>
      <c r="K89" s="16"/>
      <c r="L89" s="16"/>
      <c r="M89" s="16"/>
      <c r="N89" s="16">
        <f t="shared" si="19"/>
        <v>155000</v>
      </c>
    </row>
    <row r="90" spans="1:14" ht="60" customHeight="1">
      <c r="A90" s="27" t="s">
        <v>158</v>
      </c>
      <c r="B90" s="9">
        <v>90209</v>
      </c>
      <c r="C90" s="11" t="s">
        <v>74</v>
      </c>
      <c r="D90" s="16">
        <f>1500</f>
        <v>1500</v>
      </c>
      <c r="E90" s="16"/>
      <c r="F90" s="16"/>
      <c r="G90" s="16">
        <f t="shared" si="24"/>
        <v>0</v>
      </c>
      <c r="H90" s="16"/>
      <c r="I90" s="16"/>
      <c r="J90" s="16"/>
      <c r="K90" s="16"/>
      <c r="L90" s="16"/>
      <c r="M90" s="16"/>
      <c r="N90" s="16">
        <f t="shared" si="19"/>
        <v>1500</v>
      </c>
    </row>
    <row r="91" spans="1:14" ht="57">
      <c r="A91" s="27" t="s">
        <v>159</v>
      </c>
      <c r="B91" s="9">
        <v>90212</v>
      </c>
      <c r="C91" s="11" t="s">
        <v>75</v>
      </c>
      <c r="D91" s="16">
        <f>10708</f>
        <v>10708</v>
      </c>
      <c r="E91" s="16"/>
      <c r="F91" s="16"/>
      <c r="G91" s="16">
        <f t="shared" si="24"/>
        <v>0</v>
      </c>
      <c r="H91" s="16"/>
      <c r="I91" s="16"/>
      <c r="J91" s="16"/>
      <c r="K91" s="16"/>
      <c r="L91" s="16"/>
      <c r="M91" s="16"/>
      <c r="N91" s="16">
        <f t="shared" si="19"/>
        <v>10708</v>
      </c>
    </row>
    <row r="92" spans="1:15" ht="28.5">
      <c r="A92" s="27" t="s">
        <v>160</v>
      </c>
      <c r="B92" s="9">
        <v>90214</v>
      </c>
      <c r="C92" s="10" t="s">
        <v>89</v>
      </c>
      <c r="D92" s="16">
        <f>480000</f>
        <v>480000</v>
      </c>
      <c r="E92" s="16"/>
      <c r="F92" s="16"/>
      <c r="G92" s="16">
        <f t="shared" si="24"/>
        <v>0</v>
      </c>
      <c r="H92" s="16"/>
      <c r="I92" s="16"/>
      <c r="J92" s="16"/>
      <c r="K92" s="16"/>
      <c r="L92" s="16"/>
      <c r="M92" s="16"/>
      <c r="N92" s="16">
        <f aca="true" t="shared" si="29" ref="N92:N123">D92+G92</f>
        <v>480000</v>
      </c>
      <c r="O92" s="2"/>
    </row>
    <row r="93" spans="1:14" ht="28.5">
      <c r="A93" s="27" t="s">
        <v>161</v>
      </c>
      <c r="B93" s="9">
        <v>90215</v>
      </c>
      <c r="C93" s="10" t="s">
        <v>76</v>
      </c>
      <c r="D93" s="16">
        <v>307600</v>
      </c>
      <c r="E93" s="16"/>
      <c r="F93" s="16"/>
      <c r="G93" s="16">
        <f t="shared" si="24"/>
        <v>0</v>
      </c>
      <c r="H93" s="16"/>
      <c r="I93" s="16"/>
      <c r="J93" s="16"/>
      <c r="K93" s="16"/>
      <c r="L93" s="16"/>
      <c r="M93" s="16"/>
      <c r="N93" s="16">
        <f t="shared" si="29"/>
        <v>307600</v>
      </c>
    </row>
    <row r="94" spans="1:14" ht="42.75">
      <c r="A94" s="27" t="s">
        <v>162</v>
      </c>
      <c r="B94" s="9">
        <v>90216</v>
      </c>
      <c r="C94" s="10" t="s">
        <v>100</v>
      </c>
      <c r="D94" s="16">
        <f>1000+71.88</f>
        <v>1071.88</v>
      </c>
      <c r="E94" s="16"/>
      <c r="F94" s="16"/>
      <c r="G94" s="16">
        <f t="shared" si="24"/>
        <v>0</v>
      </c>
      <c r="H94" s="16"/>
      <c r="I94" s="16"/>
      <c r="J94" s="16"/>
      <c r="K94" s="16"/>
      <c r="L94" s="16"/>
      <c r="M94" s="16"/>
      <c r="N94" s="16">
        <f t="shared" si="29"/>
        <v>1071.88</v>
      </c>
    </row>
    <row r="95" spans="1:14" ht="28.5">
      <c r="A95" s="27" t="s">
        <v>163</v>
      </c>
      <c r="B95" s="9">
        <v>90302</v>
      </c>
      <c r="C95" s="10" t="s">
        <v>77</v>
      </c>
      <c r="D95" s="16">
        <v>312000</v>
      </c>
      <c r="E95" s="16"/>
      <c r="F95" s="16"/>
      <c r="G95" s="16">
        <f t="shared" si="24"/>
        <v>0</v>
      </c>
      <c r="H95" s="16"/>
      <c r="I95" s="16"/>
      <c r="J95" s="16"/>
      <c r="K95" s="16"/>
      <c r="L95" s="16"/>
      <c r="M95" s="16"/>
      <c r="N95" s="16">
        <f t="shared" si="29"/>
        <v>312000</v>
      </c>
    </row>
    <row r="96" spans="1:14" ht="28.5">
      <c r="A96" s="27" t="s">
        <v>164</v>
      </c>
      <c r="B96" s="9">
        <v>90303</v>
      </c>
      <c r="C96" s="10" t="s">
        <v>78</v>
      </c>
      <c r="D96" s="16">
        <f>5160000+75000</f>
        <v>5235000</v>
      </c>
      <c r="E96" s="16"/>
      <c r="F96" s="16"/>
      <c r="G96" s="16">
        <f t="shared" si="24"/>
        <v>0</v>
      </c>
      <c r="H96" s="16"/>
      <c r="I96" s="16"/>
      <c r="J96" s="16"/>
      <c r="K96" s="16"/>
      <c r="L96" s="16"/>
      <c r="M96" s="16"/>
      <c r="N96" s="16">
        <f t="shared" si="29"/>
        <v>5235000</v>
      </c>
    </row>
    <row r="97" spans="1:14" ht="15">
      <c r="A97" s="27" t="s">
        <v>165</v>
      </c>
      <c r="B97" s="9">
        <v>90304</v>
      </c>
      <c r="C97" s="10" t="s">
        <v>101</v>
      </c>
      <c r="D97" s="16">
        <v>12000000</v>
      </c>
      <c r="E97" s="16"/>
      <c r="F97" s="16"/>
      <c r="G97" s="16">
        <f t="shared" si="24"/>
        <v>0</v>
      </c>
      <c r="H97" s="16"/>
      <c r="I97" s="16"/>
      <c r="J97" s="16"/>
      <c r="K97" s="16"/>
      <c r="L97" s="16"/>
      <c r="M97" s="16"/>
      <c r="N97" s="16">
        <f t="shared" si="29"/>
        <v>12000000</v>
      </c>
    </row>
    <row r="98" spans="1:14" ht="28.5">
      <c r="A98" s="27" t="s">
        <v>166</v>
      </c>
      <c r="B98" s="9">
        <v>90305</v>
      </c>
      <c r="C98" s="10" t="s">
        <v>79</v>
      </c>
      <c r="D98" s="16">
        <f>960000+71000</f>
        <v>1031000</v>
      </c>
      <c r="E98" s="16"/>
      <c r="F98" s="16"/>
      <c r="G98" s="16">
        <f t="shared" si="24"/>
        <v>0</v>
      </c>
      <c r="H98" s="16"/>
      <c r="I98" s="16"/>
      <c r="J98" s="16"/>
      <c r="K98" s="16"/>
      <c r="L98" s="16"/>
      <c r="M98" s="16"/>
      <c r="N98" s="16">
        <f t="shared" si="29"/>
        <v>1031000</v>
      </c>
    </row>
    <row r="99" spans="1:14" ht="28.5">
      <c r="A99" s="27" t="s">
        <v>167</v>
      </c>
      <c r="B99" s="9">
        <v>90306</v>
      </c>
      <c r="C99" s="10" t="s">
        <v>80</v>
      </c>
      <c r="D99" s="16">
        <f>1992000+131000</f>
        <v>2123000</v>
      </c>
      <c r="E99" s="16"/>
      <c r="F99" s="16"/>
      <c r="G99" s="16">
        <f t="shared" si="24"/>
        <v>0</v>
      </c>
      <c r="H99" s="16"/>
      <c r="I99" s="16"/>
      <c r="J99" s="16"/>
      <c r="K99" s="16"/>
      <c r="L99" s="16"/>
      <c r="M99" s="16"/>
      <c r="N99" s="16">
        <f t="shared" si="29"/>
        <v>2123000</v>
      </c>
    </row>
    <row r="100" spans="1:14" ht="28.5">
      <c r="A100" s="27" t="s">
        <v>168</v>
      </c>
      <c r="B100" s="9">
        <v>90307</v>
      </c>
      <c r="C100" s="10" t="s">
        <v>81</v>
      </c>
      <c r="D100" s="16">
        <f>456000+14000</f>
        <v>470000</v>
      </c>
      <c r="E100" s="16"/>
      <c r="F100" s="16"/>
      <c r="G100" s="16">
        <f t="shared" si="24"/>
        <v>0</v>
      </c>
      <c r="H100" s="16"/>
      <c r="I100" s="16"/>
      <c r="J100" s="16"/>
      <c r="K100" s="16"/>
      <c r="L100" s="16"/>
      <c r="M100" s="16"/>
      <c r="N100" s="16">
        <f t="shared" si="29"/>
        <v>470000</v>
      </c>
    </row>
    <row r="101" spans="1:14" ht="15">
      <c r="A101" s="27" t="s">
        <v>169</v>
      </c>
      <c r="B101" s="9">
        <v>90308</v>
      </c>
      <c r="C101" s="10" t="s">
        <v>107</v>
      </c>
      <c r="D101" s="16">
        <v>8328</v>
      </c>
      <c r="E101" s="16"/>
      <c r="F101" s="16"/>
      <c r="G101" s="16">
        <f t="shared" si="24"/>
        <v>0</v>
      </c>
      <c r="H101" s="16"/>
      <c r="I101" s="16"/>
      <c r="J101" s="16"/>
      <c r="K101" s="16"/>
      <c r="L101" s="16"/>
      <c r="M101" s="16"/>
      <c r="N101" s="16">
        <f t="shared" si="29"/>
        <v>8328</v>
      </c>
    </row>
    <row r="102" spans="1:14" ht="28.5">
      <c r="A102" s="27" t="s">
        <v>170</v>
      </c>
      <c r="B102" s="9">
        <v>90401</v>
      </c>
      <c r="C102" s="10" t="s">
        <v>82</v>
      </c>
      <c r="D102" s="16">
        <f>873692+109600</f>
        <v>983292</v>
      </c>
      <c r="E102" s="16"/>
      <c r="F102" s="16"/>
      <c r="G102" s="16">
        <f t="shared" si="24"/>
        <v>0</v>
      </c>
      <c r="H102" s="16"/>
      <c r="I102" s="16"/>
      <c r="J102" s="16"/>
      <c r="K102" s="16"/>
      <c r="L102" s="16"/>
      <c r="M102" s="16"/>
      <c r="N102" s="16">
        <f t="shared" si="29"/>
        <v>983292</v>
      </c>
    </row>
    <row r="103" spans="1:14" ht="42.75">
      <c r="A103" s="27" t="s">
        <v>171</v>
      </c>
      <c r="B103" s="9">
        <v>90405</v>
      </c>
      <c r="C103" s="10" t="s">
        <v>83</v>
      </c>
      <c r="D103" s="16">
        <v>8200000</v>
      </c>
      <c r="E103" s="16"/>
      <c r="F103" s="16"/>
      <c r="G103" s="16">
        <f t="shared" si="24"/>
        <v>0</v>
      </c>
      <c r="H103" s="16"/>
      <c r="I103" s="16"/>
      <c r="J103" s="16"/>
      <c r="K103" s="16"/>
      <c r="L103" s="16"/>
      <c r="M103" s="16"/>
      <c r="N103" s="16">
        <f t="shared" si="29"/>
        <v>8200000</v>
      </c>
    </row>
    <row r="104" spans="1:14" ht="71.25">
      <c r="A104" s="27" t="s">
        <v>172</v>
      </c>
      <c r="B104" s="9">
        <v>90406</v>
      </c>
      <c r="C104" s="10" t="s">
        <v>84</v>
      </c>
      <c r="D104" s="16">
        <f>8000-71.88</f>
        <v>7928.12</v>
      </c>
      <c r="E104" s="16"/>
      <c r="F104" s="16"/>
      <c r="G104" s="16">
        <f t="shared" si="24"/>
        <v>0</v>
      </c>
      <c r="H104" s="16"/>
      <c r="I104" s="16"/>
      <c r="J104" s="16"/>
      <c r="K104" s="16"/>
      <c r="L104" s="16"/>
      <c r="M104" s="16"/>
      <c r="N104" s="16">
        <f t="shared" si="29"/>
        <v>7928.12</v>
      </c>
    </row>
    <row r="105" spans="1:14" ht="28.5">
      <c r="A105" s="27" t="s">
        <v>173</v>
      </c>
      <c r="B105" s="9">
        <v>90412</v>
      </c>
      <c r="C105" s="10" t="s">
        <v>40</v>
      </c>
      <c r="D105" s="16">
        <f>85000+95000-35000</f>
        <v>145000</v>
      </c>
      <c r="E105" s="16"/>
      <c r="F105" s="16"/>
      <c r="G105" s="16">
        <f t="shared" si="24"/>
        <v>0</v>
      </c>
      <c r="H105" s="16"/>
      <c r="I105" s="16"/>
      <c r="J105" s="16"/>
      <c r="K105" s="16"/>
      <c r="L105" s="16"/>
      <c r="M105" s="16"/>
      <c r="N105" s="16">
        <f t="shared" si="29"/>
        <v>145000</v>
      </c>
    </row>
    <row r="106" spans="1:14" ht="28.5">
      <c r="A106" s="27" t="s">
        <v>174</v>
      </c>
      <c r="B106" s="9">
        <v>90413</v>
      </c>
      <c r="C106" s="10" t="s">
        <v>85</v>
      </c>
      <c r="D106" s="16">
        <f>36634+316900</f>
        <v>353534</v>
      </c>
      <c r="E106" s="16"/>
      <c r="F106" s="16"/>
      <c r="G106" s="16">
        <f t="shared" si="24"/>
        <v>0</v>
      </c>
      <c r="H106" s="16"/>
      <c r="I106" s="16"/>
      <c r="J106" s="16"/>
      <c r="K106" s="16"/>
      <c r="L106" s="16"/>
      <c r="M106" s="16"/>
      <c r="N106" s="16">
        <f t="shared" si="29"/>
        <v>353534</v>
      </c>
    </row>
    <row r="107" spans="1:14" ht="99.75">
      <c r="A107" s="27" t="s">
        <v>175</v>
      </c>
      <c r="B107" s="9">
        <v>90414</v>
      </c>
      <c r="C107" s="10" t="s">
        <v>108</v>
      </c>
      <c r="D107" s="16">
        <v>1800</v>
      </c>
      <c r="E107" s="16"/>
      <c r="F107" s="16"/>
      <c r="G107" s="16">
        <f>H107+K107</f>
        <v>0</v>
      </c>
      <c r="H107" s="16"/>
      <c r="I107" s="16"/>
      <c r="J107" s="16"/>
      <c r="K107" s="16"/>
      <c r="L107" s="16"/>
      <c r="M107" s="16"/>
      <c r="N107" s="16">
        <f>D107+G107</f>
        <v>1800</v>
      </c>
    </row>
    <row r="108" spans="1:14" ht="28.5">
      <c r="A108" s="27" t="s">
        <v>176</v>
      </c>
      <c r="B108" s="9">
        <v>90417</v>
      </c>
      <c r="C108" s="10" t="s">
        <v>102</v>
      </c>
      <c r="D108" s="16">
        <f>35149</f>
        <v>35149</v>
      </c>
      <c r="E108" s="16"/>
      <c r="F108" s="16"/>
      <c r="G108" s="16">
        <f t="shared" si="24"/>
        <v>0</v>
      </c>
      <c r="H108" s="16"/>
      <c r="I108" s="16"/>
      <c r="J108" s="16"/>
      <c r="K108" s="16"/>
      <c r="L108" s="16"/>
      <c r="M108" s="16"/>
      <c r="N108" s="16">
        <f t="shared" si="29"/>
        <v>35149</v>
      </c>
    </row>
    <row r="109" spans="1:14" ht="42.75">
      <c r="A109" s="27" t="s">
        <v>177</v>
      </c>
      <c r="B109" s="9">
        <v>91204</v>
      </c>
      <c r="C109" s="10" t="s">
        <v>103</v>
      </c>
      <c r="D109" s="16">
        <f>1746786+816.88+19592</f>
        <v>1767194.88</v>
      </c>
      <c r="E109" s="16">
        <f>1132405</f>
        <v>1132405</v>
      </c>
      <c r="F109" s="16">
        <f>43111</f>
        <v>43111</v>
      </c>
      <c r="G109" s="16">
        <f t="shared" si="24"/>
        <v>96831</v>
      </c>
      <c r="H109" s="16">
        <f>20000</f>
        <v>20000</v>
      </c>
      <c r="I109" s="16">
        <f>6000</f>
        <v>6000</v>
      </c>
      <c r="J109" s="16"/>
      <c r="K109" s="16">
        <f>5000+59399+12432</f>
        <v>76831</v>
      </c>
      <c r="L109" s="16">
        <f>59399+12432</f>
        <v>71831</v>
      </c>
      <c r="M109" s="16"/>
      <c r="N109" s="16">
        <f t="shared" si="29"/>
        <v>1864025.88</v>
      </c>
    </row>
    <row r="110" spans="1:14" ht="99.75">
      <c r="A110" s="27"/>
      <c r="B110" s="9">
        <v>91205</v>
      </c>
      <c r="C110" s="11" t="s">
        <v>188</v>
      </c>
      <c r="D110" s="28">
        <f>26000</f>
        <v>26000</v>
      </c>
      <c r="E110" s="28"/>
      <c r="F110" s="28"/>
      <c r="G110" s="28">
        <f t="shared" si="24"/>
        <v>0</v>
      </c>
      <c r="H110" s="19"/>
      <c r="I110" s="19"/>
      <c r="J110" s="19"/>
      <c r="K110" s="19"/>
      <c r="L110" s="28"/>
      <c r="M110" s="28"/>
      <c r="N110" s="19">
        <f t="shared" si="29"/>
        <v>26000</v>
      </c>
    </row>
    <row r="111" spans="1:14" ht="28.5">
      <c r="A111" s="27" t="s">
        <v>178</v>
      </c>
      <c r="B111" s="9">
        <v>91206</v>
      </c>
      <c r="C111" s="10" t="s">
        <v>104</v>
      </c>
      <c r="D111" s="16">
        <f>427545</f>
        <v>427545</v>
      </c>
      <c r="E111" s="16">
        <f>267293</f>
        <v>267293</v>
      </c>
      <c r="F111" s="16">
        <f>20124+9110</f>
        <v>29234</v>
      </c>
      <c r="G111" s="16">
        <f t="shared" si="24"/>
        <v>0</v>
      </c>
      <c r="H111" s="16"/>
      <c r="I111" s="16"/>
      <c r="J111" s="16"/>
      <c r="K111" s="16"/>
      <c r="L111" s="16"/>
      <c r="M111" s="16"/>
      <c r="N111" s="16">
        <f t="shared" si="29"/>
        <v>427545</v>
      </c>
    </row>
    <row r="112" spans="1:14" ht="42.75">
      <c r="A112" s="27" t="s">
        <v>179</v>
      </c>
      <c r="B112" s="9">
        <v>91300</v>
      </c>
      <c r="C112" s="10" t="s">
        <v>86</v>
      </c>
      <c r="D112" s="16">
        <f>4261800+71000</f>
        <v>4332800</v>
      </c>
      <c r="E112" s="16"/>
      <c r="F112" s="16"/>
      <c r="G112" s="16">
        <f t="shared" si="24"/>
        <v>0</v>
      </c>
      <c r="H112" s="16"/>
      <c r="I112" s="16"/>
      <c r="J112" s="16"/>
      <c r="K112" s="16"/>
      <c r="L112" s="16"/>
      <c r="M112" s="16"/>
      <c r="N112" s="16">
        <f t="shared" si="29"/>
        <v>4332800</v>
      </c>
    </row>
    <row r="113" spans="1:14" ht="57">
      <c r="A113" s="27" t="s">
        <v>180</v>
      </c>
      <c r="B113" s="9">
        <v>91303</v>
      </c>
      <c r="C113" s="10" t="s">
        <v>87</v>
      </c>
      <c r="D113" s="16">
        <f>17344</f>
        <v>17344</v>
      </c>
      <c r="E113" s="16"/>
      <c r="F113" s="16"/>
      <c r="G113" s="16">
        <f t="shared" si="24"/>
        <v>0</v>
      </c>
      <c r="H113" s="16"/>
      <c r="I113" s="16"/>
      <c r="J113" s="16"/>
      <c r="K113" s="16"/>
      <c r="L113" s="16"/>
      <c r="M113" s="16"/>
      <c r="N113" s="16">
        <f t="shared" si="29"/>
        <v>17344</v>
      </c>
    </row>
    <row r="114" spans="1:14" ht="28.5">
      <c r="A114" s="27" t="s">
        <v>181</v>
      </c>
      <c r="B114" s="9">
        <v>91304</v>
      </c>
      <c r="C114" s="10" t="s">
        <v>88</v>
      </c>
      <c r="D114" s="16">
        <f>6960</f>
        <v>6960</v>
      </c>
      <c r="E114" s="16"/>
      <c r="F114" s="16"/>
      <c r="G114" s="16">
        <f t="shared" si="24"/>
        <v>0</v>
      </c>
      <c r="H114" s="16"/>
      <c r="I114" s="16"/>
      <c r="J114" s="16"/>
      <c r="K114" s="16"/>
      <c r="L114" s="16"/>
      <c r="M114" s="16"/>
      <c r="N114" s="16">
        <f t="shared" si="29"/>
        <v>6960</v>
      </c>
    </row>
    <row r="115" spans="1:14" ht="45">
      <c r="A115" s="27"/>
      <c r="B115" s="8">
        <v>170000</v>
      </c>
      <c r="C115" s="7" t="s">
        <v>23</v>
      </c>
      <c r="D115" s="15">
        <f>SUM(D116:D117)</f>
        <v>1383900</v>
      </c>
      <c r="E115" s="15">
        <f>SUM(E116:E117)</f>
        <v>0</v>
      </c>
      <c r="F115" s="15">
        <f>SUM(F116:F117)</f>
        <v>0</v>
      </c>
      <c r="G115" s="15">
        <f t="shared" si="24"/>
        <v>0</v>
      </c>
      <c r="H115" s="15">
        <f aca="true" t="shared" si="30" ref="H115:M115">SUM(H116:H117)</f>
        <v>0</v>
      </c>
      <c r="I115" s="15">
        <f t="shared" si="30"/>
        <v>0</v>
      </c>
      <c r="J115" s="15">
        <f t="shared" si="30"/>
        <v>0</v>
      </c>
      <c r="K115" s="15">
        <f t="shared" si="30"/>
        <v>0</v>
      </c>
      <c r="L115" s="15">
        <f t="shared" si="30"/>
        <v>0</v>
      </c>
      <c r="M115" s="15">
        <f t="shared" si="30"/>
        <v>0</v>
      </c>
      <c r="N115" s="15">
        <f t="shared" si="29"/>
        <v>1383900</v>
      </c>
    </row>
    <row r="116" spans="1:14" ht="42.75">
      <c r="A116" s="27" t="s">
        <v>182</v>
      </c>
      <c r="B116" s="9">
        <v>170102</v>
      </c>
      <c r="C116" s="10" t="s">
        <v>90</v>
      </c>
      <c r="D116" s="19">
        <f>36000+1284900+13000</f>
        <v>1333900</v>
      </c>
      <c r="E116" s="16"/>
      <c r="F116" s="16"/>
      <c r="G116" s="16">
        <f t="shared" si="24"/>
        <v>0</v>
      </c>
      <c r="H116" s="16"/>
      <c r="I116" s="16"/>
      <c r="J116" s="16"/>
      <c r="K116" s="16"/>
      <c r="L116" s="16"/>
      <c r="M116" s="16"/>
      <c r="N116" s="16">
        <f t="shared" si="29"/>
        <v>1333900</v>
      </c>
    </row>
    <row r="117" spans="1:14" ht="42.75">
      <c r="A117" s="27" t="s">
        <v>183</v>
      </c>
      <c r="B117" s="9">
        <v>170302</v>
      </c>
      <c r="C117" s="10" t="s">
        <v>69</v>
      </c>
      <c r="D117" s="16">
        <v>50000</v>
      </c>
      <c r="E117" s="16"/>
      <c r="F117" s="16"/>
      <c r="G117" s="16"/>
      <c r="H117" s="16"/>
      <c r="I117" s="16"/>
      <c r="J117" s="16"/>
      <c r="K117" s="16"/>
      <c r="L117" s="16"/>
      <c r="M117" s="16"/>
      <c r="N117" s="16">
        <f t="shared" si="29"/>
        <v>50000</v>
      </c>
    </row>
    <row r="118" spans="1:14" ht="60">
      <c r="A118" s="25"/>
      <c r="B118" s="6">
        <v>24</v>
      </c>
      <c r="C118" s="7" t="s">
        <v>91</v>
      </c>
      <c r="D118" s="15">
        <f>D119</f>
        <v>3533911</v>
      </c>
      <c r="E118" s="15">
        <f>E119</f>
        <v>2495256</v>
      </c>
      <c r="F118" s="15">
        <f>F119</f>
        <v>139694</v>
      </c>
      <c r="G118" s="15">
        <f t="shared" si="24"/>
        <v>459825</v>
      </c>
      <c r="H118" s="15">
        <f aca="true" t="shared" si="31" ref="H118:M118">H119</f>
        <v>273500</v>
      </c>
      <c r="I118" s="15">
        <f t="shared" si="31"/>
        <v>126400</v>
      </c>
      <c r="J118" s="15">
        <f t="shared" si="31"/>
        <v>3945</v>
      </c>
      <c r="K118" s="15">
        <f t="shared" si="31"/>
        <v>186325</v>
      </c>
      <c r="L118" s="15">
        <f t="shared" si="31"/>
        <v>120825</v>
      </c>
      <c r="M118" s="15">
        <f t="shared" si="31"/>
        <v>0</v>
      </c>
      <c r="N118" s="15">
        <f t="shared" si="29"/>
        <v>3993736</v>
      </c>
    </row>
    <row r="119" spans="1:14" ht="15">
      <c r="A119" s="25"/>
      <c r="B119" s="8">
        <v>110000</v>
      </c>
      <c r="C119" s="7" t="s">
        <v>18</v>
      </c>
      <c r="D119" s="15">
        <f>SUM(D120:D124)</f>
        <v>3533911</v>
      </c>
      <c r="E119" s="15">
        <f>SUM(E120:E124)</f>
        <v>2495256</v>
      </c>
      <c r="F119" s="15">
        <f>SUM(F120:F124)</f>
        <v>139694</v>
      </c>
      <c r="G119" s="15">
        <f t="shared" si="24"/>
        <v>459825</v>
      </c>
      <c r="H119" s="15">
        <f aca="true" t="shared" si="32" ref="H119:M119">SUM(H120:H124)</f>
        <v>273500</v>
      </c>
      <c r="I119" s="15">
        <f t="shared" si="32"/>
        <v>126400</v>
      </c>
      <c r="J119" s="15">
        <f t="shared" si="32"/>
        <v>3945</v>
      </c>
      <c r="K119" s="15">
        <f t="shared" si="32"/>
        <v>186325</v>
      </c>
      <c r="L119" s="15">
        <f t="shared" si="32"/>
        <v>120825</v>
      </c>
      <c r="M119" s="15">
        <f t="shared" si="32"/>
        <v>0</v>
      </c>
      <c r="N119" s="15">
        <f t="shared" si="29"/>
        <v>3993736</v>
      </c>
    </row>
    <row r="120" spans="1:14" ht="15">
      <c r="A120" s="25" t="s">
        <v>126</v>
      </c>
      <c r="B120" s="9">
        <v>110201</v>
      </c>
      <c r="C120" s="10" t="s">
        <v>41</v>
      </c>
      <c r="D120" s="16">
        <f>236616+2173+6511</f>
        <v>245300</v>
      </c>
      <c r="E120" s="16">
        <f>152640+1595+4777</f>
        <v>159012</v>
      </c>
      <c r="F120" s="16">
        <f>28568</f>
        <v>28568</v>
      </c>
      <c r="G120" s="16">
        <f t="shared" si="24"/>
        <v>20454</v>
      </c>
      <c r="H120" s="16">
        <f>5000</f>
        <v>5000</v>
      </c>
      <c r="I120" s="16"/>
      <c r="J120" s="16"/>
      <c r="K120" s="16">
        <f>L120</f>
        <v>15454</v>
      </c>
      <c r="L120" s="16">
        <f>3454+12000</f>
        <v>15454</v>
      </c>
      <c r="M120" s="16"/>
      <c r="N120" s="16">
        <f t="shared" si="29"/>
        <v>265754</v>
      </c>
    </row>
    <row r="121" spans="1:14" ht="15">
      <c r="A121" s="25" t="s">
        <v>184</v>
      </c>
      <c r="B121" s="9">
        <v>110202</v>
      </c>
      <c r="C121" s="10" t="s">
        <v>42</v>
      </c>
      <c r="D121" s="16">
        <f>67696+3060+22909</f>
        <v>93665</v>
      </c>
      <c r="E121" s="16">
        <f>49063+2250+16808</f>
        <v>68121</v>
      </c>
      <c r="F121" s="16">
        <f>823</f>
        <v>823</v>
      </c>
      <c r="G121" s="16">
        <f t="shared" si="24"/>
        <v>5000</v>
      </c>
      <c r="H121" s="16">
        <f>5000</f>
        <v>5000</v>
      </c>
      <c r="I121" s="16"/>
      <c r="J121" s="16"/>
      <c r="K121" s="16"/>
      <c r="L121" s="16"/>
      <c r="M121" s="16"/>
      <c r="N121" s="16">
        <f t="shared" si="29"/>
        <v>98665</v>
      </c>
    </row>
    <row r="122" spans="1:14" ht="28.5">
      <c r="A122" s="25" t="s">
        <v>127</v>
      </c>
      <c r="B122" s="9">
        <v>110204</v>
      </c>
      <c r="C122" s="10" t="s">
        <v>43</v>
      </c>
      <c r="D122" s="16">
        <f>247212+16316+50580</f>
        <v>314108</v>
      </c>
      <c r="E122" s="16">
        <f>176241+11970+37109</f>
        <v>225320</v>
      </c>
      <c r="F122" s="16">
        <f>6995</f>
        <v>6995</v>
      </c>
      <c r="G122" s="16">
        <f t="shared" si="24"/>
        <v>86000</v>
      </c>
      <c r="H122" s="16">
        <f>54500</f>
        <v>54500</v>
      </c>
      <c r="I122" s="16">
        <f>7400</f>
        <v>7400</v>
      </c>
      <c r="J122" s="16">
        <f>3945</f>
        <v>3945</v>
      </c>
      <c r="K122" s="16">
        <f>31500</f>
        <v>31500</v>
      </c>
      <c r="L122" s="16"/>
      <c r="M122" s="16"/>
      <c r="N122" s="16">
        <f t="shared" si="29"/>
        <v>400108</v>
      </c>
    </row>
    <row r="123" spans="1:14" ht="15">
      <c r="A123" s="25" t="s">
        <v>128</v>
      </c>
      <c r="B123" s="9">
        <v>110205</v>
      </c>
      <c r="C123" s="10" t="s">
        <v>44</v>
      </c>
      <c r="D123" s="16">
        <f>2115347+5345+63347</f>
        <v>2184039</v>
      </c>
      <c r="E123" s="16">
        <f>1487468+46400</f>
        <v>1533868</v>
      </c>
      <c r="F123" s="16">
        <f>87929+7115+5345</f>
        <v>100389</v>
      </c>
      <c r="G123" s="16">
        <f t="shared" si="24"/>
        <v>333371</v>
      </c>
      <c r="H123" s="16">
        <f>197000</f>
        <v>197000</v>
      </c>
      <c r="I123" s="16">
        <f>119000</f>
        <v>119000</v>
      </c>
      <c r="J123" s="16"/>
      <c r="K123" s="16">
        <f>31000+5371+100000</f>
        <v>136371</v>
      </c>
      <c r="L123" s="16">
        <f>5371+100000</f>
        <v>105371</v>
      </c>
      <c r="M123" s="16"/>
      <c r="N123" s="16">
        <f t="shared" si="29"/>
        <v>2517410</v>
      </c>
    </row>
    <row r="124" spans="1:14" ht="28.5">
      <c r="A124" s="25"/>
      <c r="B124" s="9">
        <v>110502</v>
      </c>
      <c r="C124" s="10" t="s">
        <v>61</v>
      </c>
      <c r="D124" s="16">
        <f>SUM(D125:D126)</f>
        <v>696799</v>
      </c>
      <c r="E124" s="16">
        <f>SUM(E125:E126)</f>
        <v>508935</v>
      </c>
      <c r="F124" s="16">
        <f>SUM(F125:F126)</f>
        <v>2919</v>
      </c>
      <c r="G124" s="16">
        <f aca="true" t="shared" si="33" ref="G124:G130">H124+K124</f>
        <v>15000</v>
      </c>
      <c r="H124" s="16">
        <f aca="true" t="shared" si="34" ref="H124:M124">SUM(H125:H126)</f>
        <v>12000</v>
      </c>
      <c r="I124" s="16">
        <f t="shared" si="34"/>
        <v>0</v>
      </c>
      <c r="J124" s="16">
        <f t="shared" si="34"/>
        <v>0</v>
      </c>
      <c r="K124" s="16">
        <f t="shared" si="34"/>
        <v>3000</v>
      </c>
      <c r="L124" s="16">
        <f t="shared" si="34"/>
        <v>0</v>
      </c>
      <c r="M124" s="16">
        <f t="shared" si="34"/>
        <v>0</v>
      </c>
      <c r="N124" s="16">
        <f aca="true" t="shared" si="35" ref="N124:N131">D124+G124</f>
        <v>711799</v>
      </c>
    </row>
    <row r="125" spans="1:14" ht="15">
      <c r="A125" s="25" t="s">
        <v>185</v>
      </c>
      <c r="B125" s="9">
        <v>110502</v>
      </c>
      <c r="C125" s="10" t="s">
        <v>62</v>
      </c>
      <c r="D125" s="16">
        <f>155173+3270</f>
        <v>158443</v>
      </c>
      <c r="E125" s="16">
        <f>111555+2400</f>
        <v>113955</v>
      </c>
      <c r="F125" s="16">
        <f>2919</f>
        <v>2919</v>
      </c>
      <c r="G125" s="16">
        <f t="shared" si="33"/>
        <v>0</v>
      </c>
      <c r="H125" s="16"/>
      <c r="I125" s="16"/>
      <c r="J125" s="16"/>
      <c r="K125" s="16">
        <f>L125</f>
        <v>0</v>
      </c>
      <c r="L125" s="16"/>
      <c r="M125" s="16"/>
      <c r="N125" s="16">
        <f t="shared" si="35"/>
        <v>158443</v>
      </c>
    </row>
    <row r="126" spans="1:14" ht="15">
      <c r="A126" s="25" t="s">
        <v>186</v>
      </c>
      <c r="B126" s="9">
        <v>110502</v>
      </c>
      <c r="C126" s="10" t="s">
        <v>63</v>
      </c>
      <c r="D126" s="16">
        <f>538356</f>
        <v>538356</v>
      </c>
      <c r="E126" s="16">
        <f>394980</f>
        <v>394980</v>
      </c>
      <c r="F126" s="16"/>
      <c r="G126" s="16">
        <f t="shared" si="33"/>
        <v>15000</v>
      </c>
      <c r="H126" s="16">
        <f>12000</f>
        <v>12000</v>
      </c>
      <c r="I126" s="16"/>
      <c r="J126" s="16"/>
      <c r="K126" s="16">
        <f>3000</f>
        <v>3000</v>
      </c>
      <c r="L126" s="16"/>
      <c r="M126" s="16"/>
      <c r="N126" s="16">
        <f t="shared" si="35"/>
        <v>553356</v>
      </c>
    </row>
    <row r="127" spans="1:14" ht="45">
      <c r="A127" s="25"/>
      <c r="B127" s="6">
        <v>76</v>
      </c>
      <c r="C127" s="7" t="s">
        <v>45</v>
      </c>
      <c r="D127" s="15">
        <f>D128</f>
        <v>20176302.46</v>
      </c>
      <c r="E127" s="15">
        <f>E128</f>
        <v>0</v>
      </c>
      <c r="F127" s="15">
        <f>F128</f>
        <v>0</v>
      </c>
      <c r="G127" s="15">
        <f t="shared" si="33"/>
        <v>0</v>
      </c>
      <c r="H127" s="15">
        <f aca="true" t="shared" si="36" ref="H127:M127">H128</f>
        <v>0</v>
      </c>
      <c r="I127" s="15">
        <f t="shared" si="36"/>
        <v>0</v>
      </c>
      <c r="J127" s="15">
        <f t="shared" si="36"/>
        <v>0</v>
      </c>
      <c r="K127" s="15">
        <f t="shared" si="36"/>
        <v>0</v>
      </c>
      <c r="L127" s="15">
        <f t="shared" si="36"/>
        <v>0</v>
      </c>
      <c r="M127" s="15">
        <f t="shared" si="36"/>
        <v>0</v>
      </c>
      <c r="N127" s="15">
        <f t="shared" si="35"/>
        <v>20176302.46</v>
      </c>
    </row>
    <row r="128" spans="1:14" ht="30">
      <c r="A128" s="25"/>
      <c r="B128" s="8">
        <v>250000</v>
      </c>
      <c r="C128" s="7" t="s">
        <v>28</v>
      </c>
      <c r="D128" s="15">
        <f>SUM(D129:D130)</f>
        <v>20176302.46</v>
      </c>
      <c r="E128" s="15">
        <f>SUM(E129:E130)</f>
        <v>0</v>
      </c>
      <c r="F128" s="15">
        <f>SUM(F129:F130)</f>
        <v>0</v>
      </c>
      <c r="G128" s="15">
        <f t="shared" si="33"/>
        <v>0</v>
      </c>
      <c r="H128" s="15">
        <f aca="true" t="shared" si="37" ref="H128:M128">SUM(H129:H130)</f>
        <v>0</v>
      </c>
      <c r="I128" s="15">
        <f t="shared" si="37"/>
        <v>0</v>
      </c>
      <c r="J128" s="15">
        <f t="shared" si="37"/>
        <v>0</v>
      </c>
      <c r="K128" s="15">
        <f t="shared" si="37"/>
        <v>0</v>
      </c>
      <c r="L128" s="15">
        <f t="shared" si="37"/>
        <v>0</v>
      </c>
      <c r="M128" s="15">
        <f t="shared" si="37"/>
        <v>0</v>
      </c>
      <c r="N128" s="15">
        <f t="shared" si="35"/>
        <v>20176302.46</v>
      </c>
    </row>
    <row r="129" spans="1:14" ht="15">
      <c r="A129" s="25"/>
      <c r="B129" s="9">
        <v>250102</v>
      </c>
      <c r="C129" s="10" t="s">
        <v>46</v>
      </c>
      <c r="D129" s="19">
        <f>100000-7321.85-5680-25000-13200-5408.69-19998-23289</f>
        <v>102.45999999999185</v>
      </c>
      <c r="E129" s="16"/>
      <c r="F129" s="16"/>
      <c r="G129" s="16">
        <f t="shared" si="33"/>
        <v>0</v>
      </c>
      <c r="H129" s="16"/>
      <c r="I129" s="16"/>
      <c r="J129" s="16"/>
      <c r="K129" s="16"/>
      <c r="L129" s="16"/>
      <c r="M129" s="16"/>
      <c r="N129" s="16">
        <f t="shared" si="35"/>
        <v>102.45999999999185</v>
      </c>
    </row>
    <row r="130" spans="1:14" ht="57">
      <c r="A130" s="25"/>
      <c r="B130" s="9">
        <v>250352</v>
      </c>
      <c r="C130" s="10" t="s">
        <v>105</v>
      </c>
      <c r="D130" s="16">
        <f>20176200</f>
        <v>20176200</v>
      </c>
      <c r="E130" s="16"/>
      <c r="F130" s="16"/>
      <c r="G130" s="16">
        <f t="shared" si="33"/>
        <v>0</v>
      </c>
      <c r="H130" s="16"/>
      <c r="I130" s="16"/>
      <c r="J130" s="16"/>
      <c r="K130" s="16"/>
      <c r="L130" s="16"/>
      <c r="M130" s="16"/>
      <c r="N130" s="16">
        <f t="shared" si="35"/>
        <v>20176200</v>
      </c>
    </row>
    <row r="131" spans="1:14" ht="15">
      <c r="A131" s="25"/>
      <c r="B131" s="13" t="s">
        <v>47</v>
      </c>
      <c r="C131" s="13"/>
      <c r="D131" s="17">
        <f aca="true" t="shared" si="38" ref="D131:M131">D127+D118+D81+D66+D11</f>
        <v>122683191.32</v>
      </c>
      <c r="E131" s="17">
        <f t="shared" si="38"/>
        <v>32602692</v>
      </c>
      <c r="F131" s="17">
        <f t="shared" si="38"/>
        <v>5820053</v>
      </c>
      <c r="G131" s="17">
        <f t="shared" si="38"/>
        <v>10840657.08</v>
      </c>
      <c r="H131" s="17">
        <f t="shared" si="38"/>
        <v>3865850.2</v>
      </c>
      <c r="I131" s="17">
        <f t="shared" si="38"/>
        <v>372111</v>
      </c>
      <c r="J131" s="17">
        <f t="shared" si="38"/>
        <v>14087</v>
      </c>
      <c r="K131" s="17">
        <f t="shared" si="38"/>
        <v>6974806.880000001</v>
      </c>
      <c r="L131" s="17">
        <f t="shared" si="38"/>
        <v>4178111.08</v>
      </c>
      <c r="M131" s="17">
        <f t="shared" si="38"/>
        <v>517878</v>
      </c>
      <c r="N131" s="17">
        <f t="shared" si="35"/>
        <v>133523848.39999999</v>
      </c>
    </row>
    <row r="134" spans="3:14" ht="15">
      <c r="C134" s="1" t="s">
        <v>48</v>
      </c>
      <c r="G134" s="14"/>
      <c r="H134" s="1" t="s">
        <v>49</v>
      </c>
      <c r="L134" s="14"/>
      <c r="N134" s="14"/>
    </row>
  </sheetData>
  <sheetProtection/>
  <mergeCells count="22">
    <mergeCell ref="A6:A9"/>
    <mergeCell ref="H7:H9"/>
    <mergeCell ref="J8:J9"/>
    <mergeCell ref="F8:F9"/>
    <mergeCell ref="D7:D9"/>
    <mergeCell ref="E7:F7"/>
    <mergeCell ref="C6:C9"/>
    <mergeCell ref="D6:F6"/>
    <mergeCell ref="G6:M6"/>
    <mergeCell ref="I7:J7"/>
    <mergeCell ref="E8:E9"/>
    <mergeCell ref="G7:G9"/>
    <mergeCell ref="B3:N3"/>
    <mergeCell ref="B4:N4"/>
    <mergeCell ref="B6:B9"/>
    <mergeCell ref="C5:O5"/>
    <mergeCell ref="I8:I9"/>
    <mergeCell ref="K2:N2"/>
    <mergeCell ref="N6:N9"/>
    <mergeCell ref="L7:M7"/>
    <mergeCell ref="L8:L9"/>
    <mergeCell ref="K7:K9"/>
  </mergeCells>
  <printOptions/>
  <pageMargins left="0.3937007874015748" right="0.3937007874015748" top="0.4724409448818898" bottom="0.4724409448818898" header="0" footer="0"/>
  <pageSetup horizontalDpi="600" verticalDpi="600" orientation="landscape" paperSize="9" scale="6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2012-08-10T07:29:47Z</cp:lastPrinted>
  <dcterms:created xsi:type="dcterms:W3CDTF">2010-04-28T10:23:51Z</dcterms:created>
  <dcterms:modified xsi:type="dcterms:W3CDTF">2012-08-13T07:23:00Z</dcterms:modified>
  <cp:category/>
  <cp:version/>
  <cp:contentType/>
  <cp:contentStatus/>
</cp:coreProperties>
</file>