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85" windowWidth="12120" windowHeight="8580" activeTab="0"/>
  </bookViews>
  <sheets>
    <sheet name="Лист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Print_Titles" localSheetId="0">'Лист1'!$6:$9</definedName>
    <definedName name="_xlnm.Print_Area" localSheetId="0">'Лист1'!$A$1:$M$138</definedName>
  </definedNames>
  <calcPr fullCalcOnLoad="1"/>
</workbook>
</file>

<file path=xl/sharedStrings.xml><?xml version="1.0" encoding="utf-8"?>
<sst xmlns="http://schemas.openxmlformats.org/spreadsheetml/2006/main" count="224" uniqueCount="160">
  <si>
    <t>Додаток 3</t>
  </si>
  <si>
    <t>за головними розпорядниками коштів</t>
  </si>
  <si>
    <t>грн.</t>
  </si>
  <si>
    <t>Код  КВК КТКВ</t>
  </si>
  <si>
    <t>Назва головного розпорядника коштів     Назва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</si>
  <si>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</si>
  <si>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</si>
  <si>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</si>
  <si>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</si>
  <si>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</si>
  <si>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</si>
  <si>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</si>
  <si>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</si>
  <si>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</si>
  <si>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</si>
  <si>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</si>
  <si>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</si>
  <si>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</si>
  <si>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</si>
  <si>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</si>
  <si>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</si>
  <si>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</si>
  <si>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</si>
  <si>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</si>
  <si>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</si>
  <si>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</si>
  <si>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</si>
  <si>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</si>
  <si>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</si>
  <si>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</si>
  <si>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</si>
  <si>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</si>
  <si>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</si>
  <si>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</si>
  <si>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</si>
  <si>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</si>
  <si>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</si>
  <si>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</si>
  <si>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</si>
  <si>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</si>
  <si>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</si>
  <si>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</si>
  <si>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</si>
  <si>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</si>
  <si>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</si>
  <si>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</si>
  <si>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</si>
  <si>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</si>
  <si>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</si>
  <si>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</si>
  <si>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Кризовий центр</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</si>
  <si>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</si>
  <si>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</si>
  <si>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</si>
  <si>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</si>
  <si>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</si>
  <si>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</si>
  <si>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</si>
  <si>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</si>
  <si>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</si>
  <si>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</si>
  <si>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</si>
  <si>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</si>
  <si>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</si>
  <si>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</si>
  <si>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</si>
  <si>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</si>
  <si>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</si>
  <si>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</si>
  <si>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</si>
  <si>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</si>
  <si>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</si>
  <si>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</si>
  <si>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</si>
  <si>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</si>
  <si>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</si>
  <si>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</si>
  <si>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</si>
  <si>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</si>
  <si>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</si>
  <si>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</si>
  <si>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</si>
  <si>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</si>
  <si>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</si>
  <si>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</si>
  <si>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</si>
  <si>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</si>
  <si>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</si>
  <si>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</si>
  <si>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</si>
  <si>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</si>
  <si>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</si>
  <si>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</si>
  <si>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</si>
  <si>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</si>
  <si>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</si>
  <si>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</si>
  <si>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</si>
  <si>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</si>
  <si>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</si>
  <si>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</si>
  <si>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</si>
  <si>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</si>
  <si>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</si>
  <si>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</si>
  <si>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03</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</si>
  <si>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</si>
  <si>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Інші програми соціального захисту дітей</t>
  </si>
  <si>
    <t>Видатки на проведення робіт, пов`язаних з будiвництвом, реконструкцiєю, ремонтом i утриманням автомобiльних дорiг - одержувач комунальне ремонтно- будівельне шляхове підприємство</t>
  </si>
  <si>
    <t>контроль</t>
  </si>
  <si>
    <t>зміни</t>
  </si>
  <si>
    <t>додаток 2</t>
  </si>
  <si>
    <t>Водопровідно - каналізаційне господарство</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</si>
  <si>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</si>
  <si>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капітали суб"єктів підприємницької дяльності</t>
  </si>
  <si>
    <t>Розробка схем та проектних рішень масового застосування</t>
  </si>
  <si>
    <t>Видатки на покриття інших заборгованостей, що виникли в попередні роки</t>
  </si>
  <si>
    <t>Заходи у сфері захисту населення і територій від надзвичайних ситуацій техногенного та природного характеру</t>
  </si>
  <si>
    <t>Капітальний ремонт житлового фонду місцевих органів влади</t>
  </si>
  <si>
    <t>борги</t>
  </si>
  <si>
    <t>вільні</t>
  </si>
  <si>
    <t>КФК 250403</t>
  </si>
  <si>
    <t>Видатки на проведення робіт, пов`язаних з будiвництвом, реконструкцiєю, ремонтом i утриманням автомобiльних дорiг- субвенція з обласного бюджету</t>
  </si>
  <si>
    <t>Видатки на проведення робіт, пов`язаних з будiвництвом, реконструкцiєю, ремонтом i утриманням автомобiльних дорiг- субвенція з державного бюджету</t>
  </si>
  <si>
    <t>Управління соціального захисту виковнавчого комітету міської ради</t>
  </si>
  <si>
    <t>Управління соціального захисту населення виконавчого комітету міської ради</t>
  </si>
  <si>
    <t>Розподіл видатків по бюджету міста Старокостянтинова на 2014 рік</t>
  </si>
  <si>
    <t>додаток 1 бюджет</t>
  </si>
  <si>
    <t>додаток 2 бюджет</t>
  </si>
  <si>
    <t>Інші заходи у сфері автомобільного транспорту</t>
  </si>
  <si>
    <t xml:space="preserve">перенесення із загального на спецфонд -50000 </t>
  </si>
  <si>
    <t xml:space="preserve">перенесення із загального на спецфонд - 50000 </t>
  </si>
  <si>
    <t>перенес. із заг. на спецфонд - 50000</t>
  </si>
  <si>
    <t>Старокостянтинівська ЖЕК</t>
  </si>
  <si>
    <t>Видатки на запобігання та ліквідацію надзвичайних ситуацій та наслідків стихійного лиха</t>
  </si>
  <si>
    <t>додаток 1 лютий</t>
  </si>
  <si>
    <t>додаток 2 лютий</t>
  </si>
  <si>
    <t>перенесення із загального на спецфонд - 50000  та залишки 3450850,70+19688,68= 3470539,98=3520539,38</t>
  </si>
  <si>
    <t>перенесення із загального на спецфонд -50000 та залишки +243240,39+870929 грн.=1114169,39=1064169,39</t>
  </si>
  <si>
    <t>додаток 1 квітень</t>
  </si>
  <si>
    <t>додаток 2 квітень</t>
  </si>
  <si>
    <t>Субвенція з місцевого бюджету державному бюджету на виконання програм соціально-економічного та культурного розвитку районів</t>
  </si>
  <si>
    <t>додаток 1 червень</t>
  </si>
  <si>
    <t>додаток 2 червень</t>
  </si>
  <si>
    <t>Погашення заборгованості з різниці в тарифах на теплову енергію, послуги з центрального водопостачання та  водовідведення, що випробллялсия, транспортувалися та постачалися населенню, яка виникла у зв"язку з невідповідністю фактичної вартості</t>
  </si>
  <si>
    <t>додаток 1 липень</t>
  </si>
  <si>
    <t>додаток 2 липень</t>
  </si>
  <si>
    <t>додаток 1 вересень</t>
  </si>
  <si>
    <t>додаток 2 вересень</t>
  </si>
  <si>
    <t xml:space="preserve">Компенсація населенню додаткових витрат на оплату послуг газопостачання, центрального опалення та централізованого постачання гарячої води» </t>
  </si>
  <si>
    <t>перенесення із загального на спецфонд - 50000  та залишки 3450850,70+19688,68= 3470539,98=3520539,44</t>
  </si>
  <si>
    <t>перенесення із загального на спецфонд -50000 та залишки +243240,39+870929 грн.=1114169,39=1064169,41</t>
  </si>
  <si>
    <t>додаток 1 жовтень</t>
  </si>
  <si>
    <t>додаток 2 жовтень</t>
  </si>
  <si>
    <t>додаток 1 листопад</t>
  </si>
  <si>
    <t>додаток 2 листопад</t>
  </si>
  <si>
    <t>додаток 4</t>
  </si>
  <si>
    <t>перенесення із загального на спецфонд - 50000+31000+969052=-988052  та залишки 3450850,70+19688,38= 3470539,38=4458591,38</t>
  </si>
  <si>
    <t>перенесення із загального на спецфонд -50000+31000-969052=-19000 та залишки +243240,41+870929 грн.=1114169,41=126117,41</t>
  </si>
  <si>
    <t>до  рішення 44 сесії міської ради від 28.10.2014р. №4  "Про внесення змін до бюджету міста на 2014 рік"</t>
  </si>
</sst>
</file>

<file path=xl/styles.xml><?xml version="1.0" encoding="utf-8"?>
<styleSheet xmlns="http://schemas.openxmlformats.org/spreadsheetml/2006/main">
  <numFmts count="2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48">
    <font>
      <sz val="11"/>
      <color theme="1"/>
      <name val="Calibri"/>
      <family val="2"/>
    </font>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1"/>
      <name val="Arial"/>
      <family val="2"/>
    </font>
    <font>
      <b/>
      <sz val="11"/>
      <name val="Arial"/>
      <family val="2"/>
    </font>
    <font>
      <sz val="11"/>
      <name val="Calibri"/>
      <family val="2"/>
    </font>
    <font>
      <sz val="9"/>
      <color indexed="8"/>
      <name val="Calibri"/>
      <family val="2"/>
    </font>
    <font>
      <sz val="11"/>
      <color indexed="10"/>
      <name val="Arial"/>
      <family val="2"/>
    </font>
    <font>
      <sz val="9"/>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2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2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6" fillId="31" borderId="0" applyNumberFormat="0" applyBorder="0" applyAlignment="0" applyProtection="0"/>
  </cellStyleXfs>
  <cellXfs count="66">
    <xf numFmtId="0" fontId="0" fillId="0" borderId="0" xfId="0" applyFont="1" applyAlignment="1">
      <alignment/>
    </xf>
    <xf numFmtId="0" fontId="2" fillId="0" borderId="0" xfId="0" applyFont="1" applyAlignment="1">
      <alignment horizontal="left"/>
    </xf>
    <xf numFmtId="0" fontId="0" fillId="0" borderId="0" xfId="0" applyFont="1" applyAlignment="1">
      <alignment/>
    </xf>
    <xf numFmtId="0" fontId="3" fillId="0" borderId="0" xfId="0" applyFont="1" applyFill="1" applyAlignment="1">
      <alignment/>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top" wrapText="1"/>
    </xf>
    <xf numFmtId="2" fontId="0" fillId="0" borderId="0" xfId="0" applyNumberFormat="1" applyAlignment="1">
      <alignment/>
    </xf>
    <xf numFmtId="0" fontId="3" fillId="0" borderId="0" xfId="0" applyFont="1" applyFill="1" applyAlignment="1">
      <alignment horizontal="left"/>
    </xf>
    <xf numFmtId="0" fontId="3" fillId="0" borderId="10" xfId="0" applyFont="1" applyBorder="1" applyAlignment="1">
      <alignment vertical="top" wrapText="1"/>
    </xf>
    <xf numFmtId="0" fontId="3" fillId="0" borderId="10" xfId="0" applyFont="1" applyFill="1" applyBorder="1" applyAlignment="1">
      <alignment vertical="top"/>
    </xf>
    <xf numFmtId="2" fontId="3" fillId="0" borderId="10" xfId="0" applyNumberFormat="1" applyFont="1" applyFill="1" applyBorder="1" applyAlignment="1">
      <alignment horizontal="center" vertical="top"/>
    </xf>
    <xf numFmtId="0" fontId="0" fillId="0" borderId="0" xfId="0" applyAlignment="1">
      <alignment vertical="top"/>
    </xf>
    <xf numFmtId="2" fontId="3" fillId="0" borderId="10" xfId="0" applyNumberFormat="1" applyFont="1" applyFill="1" applyBorder="1" applyAlignment="1">
      <alignment horizontal="right" vertical="top"/>
    </xf>
    <xf numFmtId="49" fontId="4" fillId="0" borderId="10" xfId="0" applyNumberFormat="1" applyFont="1" applyFill="1" applyBorder="1" applyAlignment="1">
      <alignment horizontal="center" vertical="top"/>
    </xf>
    <xf numFmtId="0" fontId="4" fillId="0" borderId="10" xfId="0" applyFont="1" applyFill="1" applyBorder="1" applyAlignment="1">
      <alignment vertical="top" wrapText="1"/>
    </xf>
    <xf numFmtId="2" fontId="4" fillId="0" borderId="10" xfId="0" applyNumberFormat="1" applyFont="1" applyFill="1" applyBorder="1" applyAlignment="1">
      <alignment horizontal="right" vertical="top"/>
    </xf>
    <xf numFmtId="0" fontId="4" fillId="0" borderId="10" xfId="0" applyFont="1" applyFill="1" applyBorder="1" applyAlignment="1">
      <alignment vertical="top"/>
    </xf>
    <xf numFmtId="0" fontId="4" fillId="0" borderId="10" xfId="0" applyFont="1" applyFill="1" applyBorder="1" applyAlignment="1" quotePrefix="1">
      <alignment horizontal="center" vertical="top"/>
    </xf>
    <xf numFmtId="2" fontId="3" fillId="0" borderId="10" xfId="0" applyNumberFormat="1" applyFont="1" applyFill="1" applyBorder="1" applyAlignment="1">
      <alignment vertical="top"/>
    </xf>
    <xf numFmtId="0" fontId="6" fillId="0" borderId="10" xfId="0" applyFont="1" applyFill="1" applyBorder="1" applyAlignment="1">
      <alignment vertical="top"/>
    </xf>
    <xf numFmtId="0" fontId="6" fillId="0" borderId="10" xfId="0" applyFont="1" applyFill="1" applyBorder="1" applyAlignment="1">
      <alignment vertical="top" wrapText="1"/>
    </xf>
    <xf numFmtId="2" fontId="6" fillId="0" borderId="10" xfId="0" applyNumberFormat="1" applyFont="1" applyFill="1" applyBorder="1" applyAlignment="1">
      <alignment horizontal="right" vertical="top"/>
    </xf>
    <xf numFmtId="0" fontId="8" fillId="0" borderId="0" xfId="0" applyFont="1" applyAlignment="1">
      <alignment/>
    </xf>
    <xf numFmtId="2" fontId="3" fillId="0" borderId="10" xfId="0" applyNumberFormat="1" applyFont="1" applyFill="1" applyBorder="1" applyAlignment="1">
      <alignment horizontal="center" vertical="center"/>
    </xf>
    <xf numFmtId="0" fontId="7" fillId="0" borderId="10" xfId="0" applyFont="1" applyFill="1" applyBorder="1" applyAlignment="1">
      <alignment vertical="top"/>
    </xf>
    <xf numFmtId="0" fontId="7" fillId="0" borderId="10" xfId="0" applyFont="1" applyFill="1" applyBorder="1" applyAlignment="1">
      <alignment vertical="top" wrapText="1"/>
    </xf>
    <xf numFmtId="2" fontId="7" fillId="0" borderId="10" xfId="0" applyNumberFormat="1" applyFont="1" applyFill="1" applyBorder="1" applyAlignment="1">
      <alignment horizontal="right" vertical="top"/>
    </xf>
    <xf numFmtId="2" fontId="6" fillId="0" borderId="10" xfId="0" applyNumberFormat="1" applyFont="1" applyFill="1" applyBorder="1" applyAlignment="1">
      <alignment horizontal="center" vertical="center"/>
    </xf>
    <xf numFmtId="0" fontId="0" fillId="0" borderId="0" xfId="0" applyAlignment="1">
      <alignment vertical="center"/>
    </xf>
    <xf numFmtId="2" fontId="8" fillId="0" borderId="0" xfId="0" applyNumberFormat="1" applyFont="1" applyAlignment="1">
      <alignment/>
    </xf>
    <xf numFmtId="0" fontId="4" fillId="0" borderId="10" xfId="0" applyFont="1" applyFill="1" applyBorder="1" applyAlignment="1">
      <alignment vertical="center"/>
    </xf>
    <xf numFmtId="0" fontId="4" fillId="0" borderId="10" xfId="0" applyFont="1" applyFill="1" applyBorder="1" applyAlignment="1">
      <alignment vertical="center" wrapText="1"/>
    </xf>
    <xf numFmtId="2" fontId="4" fillId="0" borderId="10" xfId="0" applyNumberFormat="1" applyFont="1" applyFill="1" applyBorder="1" applyAlignment="1">
      <alignment horizontal="center" vertical="center"/>
    </xf>
    <xf numFmtId="0" fontId="6" fillId="0" borderId="10" xfId="0" applyFont="1" applyBorder="1" applyAlignment="1">
      <alignment horizontal="center"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2" fontId="3" fillId="0" borderId="10" xfId="0" applyNumberFormat="1" applyFont="1" applyFill="1" applyBorder="1" applyAlignment="1">
      <alignment horizontal="right" vertical="center"/>
    </xf>
    <xf numFmtId="2" fontId="6" fillId="0" borderId="10" xfId="0" applyNumberFormat="1" applyFont="1" applyFill="1" applyBorder="1" applyAlignment="1">
      <alignment horizontal="right" vertical="center"/>
    </xf>
    <xf numFmtId="0" fontId="3" fillId="0" borderId="11" xfId="0" applyFont="1" applyFill="1" applyBorder="1" applyAlignment="1">
      <alignment vertical="center"/>
    </xf>
    <xf numFmtId="2" fontId="4" fillId="0" borderId="10" xfId="0" applyNumberFormat="1" applyFont="1" applyFill="1" applyBorder="1" applyAlignment="1">
      <alignment horizontal="center" vertical="top"/>
    </xf>
    <xf numFmtId="0" fontId="3" fillId="0" borderId="10" xfId="0" applyFont="1" applyFill="1" applyBorder="1" applyAlignment="1">
      <alignment horizontal="center" vertical="center"/>
    </xf>
    <xf numFmtId="0" fontId="3" fillId="0" borderId="0" xfId="0" applyFont="1" applyAlignment="1">
      <alignment vertical="top" wrapText="1"/>
    </xf>
    <xf numFmtId="0" fontId="3" fillId="0" borderId="12" xfId="0" applyFont="1" applyFill="1" applyBorder="1" applyAlignment="1">
      <alignment horizontal="left" vertical="center" wrapText="1"/>
    </xf>
    <xf numFmtId="2" fontId="10" fillId="0" borderId="10" xfId="0" applyNumberFormat="1" applyFont="1" applyFill="1" applyBorder="1" applyAlignment="1">
      <alignment horizontal="center" vertical="center"/>
    </xf>
    <xf numFmtId="0" fontId="0" fillId="0" borderId="0" xfId="0" applyAlignment="1">
      <alignment vertical="top" wrapText="1"/>
    </xf>
    <xf numFmtId="0" fontId="1" fillId="0" borderId="0" xfId="0" applyFont="1" applyAlignment="1">
      <alignment horizontal="left"/>
    </xf>
    <xf numFmtId="0" fontId="11" fillId="0" borderId="10" xfId="0" applyFont="1" applyFill="1" applyBorder="1" applyAlignment="1">
      <alignment horizontal="center" vertical="center" wrapText="1"/>
    </xf>
    <xf numFmtId="2" fontId="6" fillId="0" borderId="10" xfId="0" applyNumberFormat="1" applyFont="1" applyBorder="1" applyAlignment="1">
      <alignment horizontal="center" vertical="top" wrapText="1"/>
    </xf>
    <xf numFmtId="0" fontId="6" fillId="0" borderId="10" xfId="0" applyFont="1" applyBorder="1" applyAlignment="1">
      <alignment horizontal="center" vertical="top"/>
    </xf>
    <xf numFmtId="0" fontId="6" fillId="0" borderId="10" xfId="0" applyFont="1" applyBorder="1" applyAlignment="1">
      <alignment vertical="top" wrapText="1"/>
    </xf>
    <xf numFmtId="49" fontId="47" fillId="0" borderId="0" xfId="0" applyNumberFormat="1" applyFont="1" applyAlignment="1">
      <alignment vertical="top" wrapText="1"/>
    </xf>
    <xf numFmtId="0" fontId="0" fillId="0" borderId="0" xfId="0" applyFill="1" applyAlignment="1">
      <alignment vertical="top" wrapText="1"/>
    </xf>
    <xf numFmtId="0" fontId="0" fillId="0" borderId="0" xfId="0" applyAlignment="1">
      <alignment/>
    </xf>
    <xf numFmtId="0" fontId="4" fillId="0" borderId="0" xfId="0" applyFont="1" applyFill="1" applyAlignment="1">
      <alignment horizontal="center"/>
    </xf>
    <xf numFmtId="0" fontId="3" fillId="0" borderId="0" xfId="0" applyFont="1" applyFill="1" applyAlignment="1">
      <alignment horizontal="center"/>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5"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9" fillId="0" borderId="0" xfId="0" applyFont="1" applyAlignment="1">
      <alignment vertical="top"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6;&#1082;2_&#1073;&#1102;&#1076;&#1078;&#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1076;&#1086;&#1076;&#1072;&#1090;&#1086;&#1082;1_&#1074;&#1077;&#1088;&#1077;&#1089;&#1077;&#1085;&#110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076;&#1086;&#1076;&#1072;&#1090;&#1086;&#1082;2_&#1074;&#1077;&#1088;&#1077;&#1089;&#1077;&#1085;&#110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1076;&#1086;&#1076;&#1072;&#1090;&#1086;&#1082;1_&#1078;&#1086;&#1074;&#1090;&#1077;&#1085;&#110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1076;&#1086;&#1076;&#1072;&#1090;&#1086;&#1082;2_&#1078;&#1086;&#1074;&#1090;&#1077;&#1085;&#110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1076;&#1086;&#1076;&#1072;&#1090;&#1086;&#1082;1_&#1083;&#1080;&#1089;&#1090;&#1086;&#1087;&#1072;&#107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1076;&#1086;&#1076;&#1072;&#1090;&#1086;&#1082;2_&#1083;&#1080;&#1089;&#1090;&#1086;&#1087;&#1072;&#1076;.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1076;&#1086;&#1076;&#1072;&#1090;&#1086;&#1082;4_&#1083;&#1080;&#1089;&#1090;&#1086;&#1087;&#1072;&#10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76;&#1086;&#1076;&#1072;&#1090;&#1086;&#1082;1_&#1073;&#1102;&#1076;&#1078;&#1077;&#109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76;&#1086;&#1076;&#1072;&#1090;&#1086;&#1082;2_&#1083;&#1102;&#1090;&#1080;&#108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76;&#1086;&#1076;&#1072;&#1090;&#1086;&#1082;1_&#1083;&#1102;&#1090;&#1080;&#108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076;&#1086;&#1076;&#1072;&#1090;&#1086;&#1082;1_&#1082;&#1074;&#1110;&#1090;&#1077;&#1085;&#11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076;&#1086;&#1076;&#1072;&#1090;&#1086;&#1082;2_&#1082;&#1074;&#1110;&#1090;&#1077;&#1085;&#11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076;&#1086;&#1076;&#1072;&#1090;&#1086;&#1082;1_&#1095;&#1077;&#1088;&#1074;&#1077;&#1085;&#110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1076;&#1086;&#1076;&#1072;&#1090;&#1086;&#1082;1_&#1083;&#1080;&#1087;&#1077;&#1085;&#110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076;&#1086;&#1076;&#1072;&#1090;&#1086;&#1082;2_&#1083;&#1080;&#1087;&#1077;&#1085;&#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96">
          <cell r="C96">
            <v>124435950</v>
          </cell>
          <cell r="D96">
            <v>36375856</v>
          </cell>
          <cell r="E96">
            <v>4301279</v>
          </cell>
          <cell r="F96">
            <v>14001015</v>
          </cell>
          <cell r="G96">
            <v>4399687</v>
          </cell>
          <cell r="H96">
            <v>646136</v>
          </cell>
          <cell r="I96">
            <v>126407</v>
          </cell>
          <cell r="J96">
            <v>9601328</v>
          </cell>
          <cell r="K96">
            <v>8005448</v>
          </cell>
          <cell r="L96">
            <v>50000</v>
          </cell>
          <cell r="M96">
            <v>138436965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Лист1"/>
    </sheetNames>
    <sheetDataSet>
      <sheetData sheetId="0">
        <row r="107">
          <cell r="C107">
            <v>126634527</v>
          </cell>
          <cell r="D107">
            <v>21822726.64</v>
          </cell>
          <cell r="E107">
            <v>11092205</v>
          </cell>
          <cell r="F107">
            <v>148457253.64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Лист1"/>
    </sheetNames>
    <sheetDataSet>
      <sheetData sheetId="0">
        <row r="100">
          <cell r="C100">
            <v>127698696.41</v>
          </cell>
          <cell r="D100">
            <v>38303138</v>
          </cell>
          <cell r="E100">
            <v>4319275</v>
          </cell>
          <cell r="F100">
            <v>25343266.08</v>
          </cell>
          <cell r="G100">
            <v>8444854.71</v>
          </cell>
          <cell r="H100">
            <v>646136</v>
          </cell>
          <cell r="I100">
            <v>126407</v>
          </cell>
          <cell r="J100">
            <v>16898411.37</v>
          </cell>
          <cell r="K100">
            <v>13586627.8</v>
          </cell>
          <cell r="L100">
            <v>50000</v>
          </cell>
          <cell r="M100">
            <v>153041962.49</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Лист1"/>
    </sheetNames>
    <sheetDataSet>
      <sheetData sheetId="0">
        <row r="107">
          <cell r="C107">
            <v>126634527</v>
          </cell>
          <cell r="D107">
            <v>21822726.64</v>
          </cell>
          <cell r="E107">
            <v>11092205</v>
          </cell>
          <cell r="F107">
            <v>148457253.64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Лист1"/>
    </sheetNames>
    <sheetDataSet>
      <sheetData sheetId="0">
        <row r="90">
          <cell r="M90">
            <v>530256</v>
          </cell>
        </row>
        <row r="100">
          <cell r="C100">
            <v>127698696.41</v>
          </cell>
          <cell r="D100">
            <v>38303138</v>
          </cell>
          <cell r="E100">
            <v>4319275</v>
          </cell>
          <cell r="F100">
            <v>25343266.08</v>
          </cell>
          <cell r="G100">
            <v>8444854.71</v>
          </cell>
          <cell r="H100">
            <v>646136</v>
          </cell>
          <cell r="I100">
            <v>126407</v>
          </cell>
          <cell r="J100">
            <v>16898411.37</v>
          </cell>
          <cell r="K100">
            <v>13586627.8</v>
          </cell>
          <cell r="L100">
            <v>50000</v>
          </cell>
          <cell r="M100">
            <v>153041962.49</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Лист1"/>
    </sheetNames>
    <sheetDataSet>
      <sheetData sheetId="0">
        <row r="107">
          <cell r="D107">
            <v>17334505.7</v>
          </cell>
        </row>
        <row r="108">
          <cell r="C108">
            <v>127932664.2</v>
          </cell>
          <cell r="D108">
            <v>36451877.7</v>
          </cell>
          <cell r="E108">
            <v>11892205</v>
          </cell>
          <cell r="F108">
            <v>164384541.9</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Лист1"/>
    </sheetNames>
    <sheetDataSet>
      <sheetData sheetId="0">
        <row r="11">
          <cell r="M11">
            <v>8229186.35</v>
          </cell>
        </row>
        <row r="14">
          <cell r="M14">
            <v>15914381.5</v>
          </cell>
        </row>
        <row r="15">
          <cell r="M15">
            <v>28730317</v>
          </cell>
        </row>
        <row r="16">
          <cell r="M16">
            <v>396530</v>
          </cell>
        </row>
        <row r="17">
          <cell r="M17">
            <v>1349985.5</v>
          </cell>
        </row>
        <row r="18">
          <cell r="M18">
            <v>600219</v>
          </cell>
        </row>
        <row r="19">
          <cell r="M19">
            <v>947877</v>
          </cell>
        </row>
        <row r="20">
          <cell r="M20">
            <v>1536721</v>
          </cell>
        </row>
        <row r="21">
          <cell r="M21">
            <v>18100</v>
          </cell>
        </row>
        <row r="23">
          <cell r="M23">
            <v>4915900</v>
          </cell>
        </row>
        <row r="24">
          <cell r="M24">
            <v>3000</v>
          </cell>
        </row>
        <row r="25">
          <cell r="M25">
            <v>108450</v>
          </cell>
        </row>
        <row r="26">
          <cell r="M26">
            <v>2026000</v>
          </cell>
        </row>
        <row r="27">
          <cell r="M27">
            <v>195500</v>
          </cell>
        </row>
        <row r="28">
          <cell r="M28">
            <v>500</v>
          </cell>
        </row>
        <row r="29">
          <cell r="M29">
            <v>13094</v>
          </cell>
        </row>
        <row r="30">
          <cell r="M30">
            <v>410000</v>
          </cell>
        </row>
        <row r="31">
          <cell r="M31">
            <v>585600</v>
          </cell>
        </row>
        <row r="32">
          <cell r="M32">
            <v>1217.69</v>
          </cell>
        </row>
        <row r="33">
          <cell r="M33">
            <v>414000</v>
          </cell>
        </row>
        <row r="34">
          <cell r="M34">
            <v>2752997</v>
          </cell>
        </row>
        <row r="35">
          <cell r="M35">
            <v>19289182</v>
          </cell>
        </row>
        <row r="36">
          <cell r="M36">
            <v>1525835</v>
          </cell>
        </row>
        <row r="37">
          <cell r="M37">
            <v>2900000</v>
          </cell>
        </row>
        <row r="38">
          <cell r="M38">
            <v>556580</v>
          </cell>
        </row>
        <row r="39">
          <cell r="M39">
            <v>9720</v>
          </cell>
        </row>
        <row r="40">
          <cell r="M40">
            <v>4609313</v>
          </cell>
        </row>
        <row r="41">
          <cell r="M41">
            <v>10080000</v>
          </cell>
        </row>
        <row r="42">
          <cell r="M42">
            <v>14982.31</v>
          </cell>
        </row>
        <row r="43">
          <cell r="M43">
            <v>600000</v>
          </cell>
        </row>
        <row r="44">
          <cell r="M44">
            <v>263113.72</v>
          </cell>
        </row>
        <row r="45">
          <cell r="M45">
            <v>1400169</v>
          </cell>
        </row>
        <row r="46">
          <cell r="M46">
            <v>3000</v>
          </cell>
        </row>
        <row r="47">
          <cell r="M47">
            <v>42517</v>
          </cell>
        </row>
        <row r="48">
          <cell r="M48">
            <v>5000</v>
          </cell>
        </row>
        <row r="49">
          <cell r="M49">
            <v>458791.64</v>
          </cell>
        </row>
        <row r="50">
          <cell r="M50">
            <v>22004</v>
          </cell>
        </row>
        <row r="51">
          <cell r="M51">
            <v>326264.7</v>
          </cell>
        </row>
        <row r="52">
          <cell r="M52">
            <v>143600</v>
          </cell>
        </row>
        <row r="53">
          <cell r="M53">
            <v>1796522</v>
          </cell>
        </row>
        <row r="54">
          <cell r="M54">
            <v>48523.92</v>
          </cell>
        </row>
        <row r="55">
          <cell r="M55">
            <v>644599</v>
          </cell>
        </row>
        <row r="56">
          <cell r="M56">
            <v>5657407</v>
          </cell>
        </row>
        <row r="57">
          <cell r="M57">
            <v>21447</v>
          </cell>
        </row>
        <row r="58">
          <cell r="M58">
            <v>3612</v>
          </cell>
        </row>
        <row r="60">
          <cell r="M60">
            <v>193746</v>
          </cell>
        </row>
        <row r="61">
          <cell r="M61">
            <v>2899183.75</v>
          </cell>
        </row>
        <row r="62">
          <cell r="M62">
            <v>5069500.32</v>
          </cell>
        </row>
        <row r="63">
          <cell r="M63">
            <v>17334505.7</v>
          </cell>
        </row>
        <row r="65">
          <cell r="M65">
            <v>321703</v>
          </cell>
        </row>
        <row r="66">
          <cell r="M66">
            <v>288967.83999999997</v>
          </cell>
        </row>
        <row r="67">
          <cell r="M67">
            <v>419541</v>
          </cell>
        </row>
        <row r="68">
          <cell r="M68">
            <v>2839988</v>
          </cell>
        </row>
        <row r="69">
          <cell r="M69">
            <v>1484372.74</v>
          </cell>
        </row>
        <row r="71">
          <cell r="M71">
            <v>70000</v>
          </cell>
        </row>
        <row r="72">
          <cell r="M72">
            <v>136000</v>
          </cell>
        </row>
        <row r="74">
          <cell r="M74">
            <v>160000</v>
          </cell>
        </row>
        <row r="75">
          <cell r="M75">
            <v>1549955</v>
          </cell>
        </row>
        <row r="77">
          <cell r="M77">
            <v>2201475.03</v>
          </cell>
        </row>
        <row r="78">
          <cell r="M78">
            <v>86646</v>
          </cell>
        </row>
        <row r="80">
          <cell r="M80">
            <v>1563789.2</v>
          </cell>
        </row>
        <row r="81">
          <cell r="M81">
            <v>68454</v>
          </cell>
        </row>
        <row r="82">
          <cell r="M82">
            <v>60000</v>
          </cell>
        </row>
        <row r="83">
          <cell r="M83">
            <v>3140261.1100000003</v>
          </cell>
        </row>
        <row r="84">
          <cell r="M84">
            <v>3177648.1</v>
          </cell>
        </row>
        <row r="85">
          <cell r="M85">
            <v>1214179.8</v>
          </cell>
        </row>
        <row r="86">
          <cell r="M86">
            <v>1655078</v>
          </cell>
        </row>
        <row r="89">
          <cell r="M89">
            <v>20107.58</v>
          </cell>
        </row>
        <row r="91">
          <cell r="M91">
            <v>237000</v>
          </cell>
        </row>
        <row r="93">
          <cell r="M93">
            <v>67500</v>
          </cell>
        </row>
        <row r="94">
          <cell r="M94">
            <v>3222.8899999999994</v>
          </cell>
        </row>
        <row r="96">
          <cell r="M96">
            <v>99999.99999999999</v>
          </cell>
        </row>
        <row r="98">
          <cell r="M98">
            <v>191491.8</v>
          </cell>
        </row>
        <row r="99">
          <cell r="M99">
            <v>1264957</v>
          </cell>
        </row>
        <row r="100">
          <cell r="C100">
            <v>128058781.61</v>
          </cell>
          <cell r="D100">
            <v>38899196</v>
          </cell>
          <cell r="E100">
            <v>4760537.24</v>
          </cell>
          <cell r="F100">
            <v>40910469.08</v>
          </cell>
          <cell r="G100">
            <v>22274005.71</v>
          </cell>
          <cell r="H100">
            <v>646136</v>
          </cell>
          <cell r="I100">
            <v>126407</v>
          </cell>
          <cell r="J100">
            <v>18636463.369999997</v>
          </cell>
          <cell r="K100">
            <v>14355627.8</v>
          </cell>
          <cell r="L100">
            <v>19000</v>
          </cell>
          <cell r="M100">
            <v>168969250.69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Лист1"/>
    </sheetNames>
    <sheetDataSet>
      <sheetData sheetId="0">
        <row r="21">
          <cell r="C21">
            <v>126117.40999999992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s>
    <sheetDataSet>
      <sheetData sheetId="0">
        <row r="98">
          <cell r="C98">
            <v>127978755.41</v>
          </cell>
          <cell r="D98">
            <v>37406134</v>
          </cell>
          <cell r="E98">
            <v>4301279</v>
          </cell>
          <cell r="F98">
            <v>20248054.38</v>
          </cell>
          <cell r="G98">
            <v>6687971.43</v>
          </cell>
          <cell r="H98">
            <v>646136</v>
          </cell>
          <cell r="I98">
            <v>126407</v>
          </cell>
          <cell r="J98">
            <v>13560082.95</v>
          </cell>
          <cell r="K98">
            <v>10449870.8</v>
          </cell>
          <cell r="L98">
            <v>50000</v>
          </cell>
          <cell r="M98">
            <v>148226809.79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s>
    <sheetDataSet>
      <sheetData sheetId="0">
        <row r="107">
          <cell r="C107">
            <v>126914586</v>
          </cell>
          <cell r="D107">
            <v>16727515</v>
          </cell>
          <cell r="E107">
            <v>7955448</v>
          </cell>
          <cell r="F107">
            <v>143642101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s>
    <sheetDataSet>
      <sheetData sheetId="0">
        <row r="107">
          <cell r="C107">
            <v>124502386</v>
          </cell>
          <cell r="D107">
            <v>17021615</v>
          </cell>
          <cell r="E107">
            <v>7955448</v>
          </cell>
          <cell r="F107">
            <v>141524001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Лист1"/>
    </sheetNames>
    <sheetDataSet>
      <sheetData sheetId="0">
        <row r="99">
          <cell r="C99">
            <v>125566555.41</v>
          </cell>
          <cell r="D99">
            <v>36384983</v>
          </cell>
          <cell r="E99">
            <v>4295614</v>
          </cell>
          <cell r="F99">
            <v>20543854.380000003</v>
          </cell>
          <cell r="G99">
            <v>6782571.43</v>
          </cell>
          <cell r="H99">
            <v>646136</v>
          </cell>
          <cell r="I99">
            <v>126407</v>
          </cell>
          <cell r="J99">
            <v>13761282.95</v>
          </cell>
          <cell r="K99">
            <v>10449870.8</v>
          </cell>
          <cell r="L99">
            <v>50000</v>
          </cell>
          <cell r="M99">
            <v>146110409.79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Лист1"/>
    </sheetNames>
    <sheetDataSet>
      <sheetData sheetId="0">
        <row r="107">
          <cell r="C107">
            <v>123729527</v>
          </cell>
          <cell r="D107">
            <v>19717645</v>
          </cell>
          <cell r="E107">
            <v>9497248</v>
          </cell>
          <cell r="F107">
            <v>143447172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Лист1"/>
    </sheetNames>
    <sheetDataSet>
      <sheetData sheetId="0">
        <row r="107">
          <cell r="C107">
            <v>126634527</v>
          </cell>
          <cell r="D107">
            <v>21630881.439999998</v>
          </cell>
          <cell r="E107">
            <v>11092205</v>
          </cell>
          <cell r="F107">
            <v>148265408.44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Лист1"/>
    </sheetNames>
    <sheetDataSet>
      <sheetData sheetId="0">
        <row r="99">
          <cell r="C99">
            <v>127698696.41</v>
          </cell>
          <cell r="D99">
            <v>38323138</v>
          </cell>
          <cell r="E99">
            <v>4297706</v>
          </cell>
          <cell r="F99">
            <v>25151420.82</v>
          </cell>
          <cell r="G99">
            <v>8253009.45</v>
          </cell>
          <cell r="H99">
            <v>646136</v>
          </cell>
          <cell r="I99">
            <v>126407</v>
          </cell>
          <cell r="J99">
            <v>16898411.37</v>
          </cell>
          <cell r="K99">
            <v>13586627.8</v>
          </cell>
          <cell r="L99">
            <v>50000</v>
          </cell>
          <cell r="M99">
            <v>152850117.23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0"/>
  <sheetViews>
    <sheetView tabSelected="1" zoomScale="75" zoomScaleNormal="75" zoomScalePageLayoutView="0" workbookViewId="0" topLeftCell="A1">
      <pane xSplit="2" ySplit="10" topLeftCell="C122" activePane="bottomRight" state="frozen"/>
      <selection pane="topLeft" activeCell="A1" sqref="A1"/>
      <selection pane="topRight" activeCell="C1" sqref="C1"/>
      <selection pane="bottomLeft" activeCell="A13" sqref="A13"/>
      <selection pane="bottomRight" activeCell="A85" sqref="A85:IV85"/>
    </sheetView>
  </sheetViews>
  <sheetFormatPr defaultColWidth="9.140625" defaultRowHeight="15"/>
  <cols>
    <col min="2" max="2" width="37.8515625" style="0" customWidth="1"/>
    <col min="3" max="3" width="15.140625" style="0" bestFit="1" customWidth="1"/>
    <col min="4" max="4" width="14.00390625" style="0" customWidth="1"/>
    <col min="5" max="5" width="13.140625" style="0" customWidth="1"/>
    <col min="6" max="6" width="14.28125" style="0" customWidth="1"/>
    <col min="7" max="7" width="16.7109375" style="0" bestFit="1" customWidth="1"/>
    <col min="8" max="9" width="11.57421875" style="0" customWidth="1"/>
    <col min="10" max="10" width="14.28125" style="0" customWidth="1"/>
    <col min="11" max="11" width="15.28125" style="0" customWidth="1"/>
    <col min="12" max="12" width="11.8515625" style="0" customWidth="1"/>
    <col min="13" max="13" width="17.8515625" style="0" customWidth="1"/>
    <col min="14" max="14" width="7.00390625" style="0" customWidth="1"/>
    <col min="15" max="15" width="15.421875" style="0" customWidth="1"/>
    <col min="16" max="16" width="13.00390625" style="0" customWidth="1"/>
    <col min="17" max="17" width="13.28125" style="0" bestFit="1" customWidth="1"/>
    <col min="18" max="18" width="12.140625" style="0" bestFit="1" customWidth="1"/>
  </cols>
  <sheetData>
    <row r="1" spans="1:13" ht="15">
      <c r="A1" s="3"/>
      <c r="B1" s="3"/>
      <c r="C1" s="3"/>
      <c r="D1" s="3"/>
      <c r="E1" s="3"/>
      <c r="F1" s="3"/>
      <c r="G1" s="3"/>
      <c r="H1" s="3"/>
      <c r="I1" s="3"/>
      <c r="J1" s="3" t="s">
        <v>0</v>
      </c>
      <c r="K1" s="3"/>
      <c r="L1" s="3"/>
      <c r="M1" s="3"/>
    </row>
    <row r="2" spans="1:13" ht="34.5" customHeight="1">
      <c r="A2" s="3"/>
      <c r="B2" s="3"/>
      <c r="C2" s="3"/>
      <c r="D2" s="3"/>
      <c r="E2" s="3"/>
      <c r="F2" s="3"/>
      <c r="G2" s="3"/>
      <c r="H2" s="3"/>
      <c r="I2" s="3"/>
      <c r="J2" s="52" t="s">
        <v>159</v>
      </c>
      <c r="K2" s="52"/>
      <c r="L2" s="52"/>
      <c r="M2" s="53"/>
    </row>
    <row r="3" spans="1:13" ht="15">
      <c r="A3" s="54" t="s">
        <v>126</v>
      </c>
      <c r="B3" s="55"/>
      <c r="C3" s="55"/>
      <c r="D3" s="55"/>
      <c r="E3" s="55"/>
      <c r="F3" s="55"/>
      <c r="G3" s="55"/>
      <c r="H3" s="55"/>
      <c r="I3" s="55"/>
      <c r="J3" s="55"/>
      <c r="K3" s="55"/>
      <c r="L3" s="55"/>
      <c r="M3" s="55"/>
    </row>
    <row r="4" spans="1:13" ht="15">
      <c r="A4" s="54" t="s">
        <v>1</v>
      </c>
      <c r="B4" s="55"/>
      <c r="C4" s="55"/>
      <c r="D4" s="55"/>
      <c r="E4" s="55"/>
      <c r="F4" s="55"/>
      <c r="G4" s="55"/>
      <c r="H4" s="55"/>
      <c r="I4" s="55"/>
      <c r="J4" s="55"/>
      <c r="K4" s="55"/>
      <c r="L4" s="55"/>
      <c r="M4" s="55"/>
    </row>
    <row r="5" spans="1:13" ht="15">
      <c r="A5" s="3"/>
      <c r="B5" s="3"/>
      <c r="C5" s="3"/>
      <c r="D5" s="3"/>
      <c r="E5" s="3"/>
      <c r="F5" s="3"/>
      <c r="G5" s="3"/>
      <c r="H5" s="3"/>
      <c r="I5" s="3"/>
      <c r="J5" s="3"/>
      <c r="K5" s="3"/>
      <c r="L5" s="3"/>
      <c r="M5" s="8" t="s">
        <v>2</v>
      </c>
    </row>
    <row r="6" spans="1:13" ht="15">
      <c r="A6" s="57" t="s">
        <v>3</v>
      </c>
      <c r="B6" s="57" t="s">
        <v>4</v>
      </c>
      <c r="C6" s="56" t="s">
        <v>5</v>
      </c>
      <c r="D6" s="56"/>
      <c r="E6" s="56"/>
      <c r="F6" s="56" t="s">
        <v>12</v>
      </c>
      <c r="G6" s="56"/>
      <c r="H6" s="56"/>
      <c r="I6" s="56"/>
      <c r="J6" s="56"/>
      <c r="K6" s="56"/>
      <c r="L6" s="56"/>
      <c r="M6" s="56" t="s">
        <v>13</v>
      </c>
    </row>
    <row r="7" spans="1:13" ht="15">
      <c r="A7" s="57"/>
      <c r="B7" s="57"/>
      <c r="C7" s="57" t="s">
        <v>6</v>
      </c>
      <c r="D7" s="58" t="s">
        <v>8</v>
      </c>
      <c r="E7" s="58"/>
      <c r="F7" s="57" t="s">
        <v>6</v>
      </c>
      <c r="G7" s="57" t="s">
        <v>7</v>
      </c>
      <c r="H7" s="58" t="s">
        <v>8</v>
      </c>
      <c r="I7" s="58"/>
      <c r="J7" s="58" t="s">
        <v>11</v>
      </c>
      <c r="K7" s="61" t="s">
        <v>8</v>
      </c>
      <c r="L7" s="62"/>
      <c r="M7" s="56"/>
    </row>
    <row r="8" spans="1:13" ht="25.5" customHeight="1">
      <c r="A8" s="57"/>
      <c r="B8" s="57"/>
      <c r="C8" s="57"/>
      <c r="D8" s="58" t="s">
        <v>9</v>
      </c>
      <c r="E8" s="58" t="s">
        <v>10</v>
      </c>
      <c r="F8" s="57"/>
      <c r="G8" s="57"/>
      <c r="H8" s="58" t="s">
        <v>9</v>
      </c>
      <c r="I8" s="58" t="s">
        <v>10</v>
      </c>
      <c r="J8" s="58"/>
      <c r="K8" s="64" t="s">
        <v>89</v>
      </c>
      <c r="L8" s="4" t="s">
        <v>8</v>
      </c>
      <c r="M8" s="56"/>
    </row>
    <row r="9" spans="1:16" ht="120" customHeight="1">
      <c r="A9" s="57"/>
      <c r="B9" s="57"/>
      <c r="C9" s="57"/>
      <c r="D9" s="58"/>
      <c r="E9" s="58"/>
      <c r="F9" s="57"/>
      <c r="G9" s="57"/>
      <c r="H9" s="58"/>
      <c r="I9" s="58"/>
      <c r="J9" s="58"/>
      <c r="K9" s="65"/>
      <c r="L9" s="47" t="s">
        <v>90</v>
      </c>
      <c r="M9" s="56"/>
      <c r="O9" s="29" t="s">
        <v>111</v>
      </c>
      <c r="P9" s="29" t="s">
        <v>109</v>
      </c>
    </row>
    <row r="10" spans="1:13" ht="15">
      <c r="A10" s="5">
        <v>1</v>
      </c>
      <c r="B10" s="5">
        <v>2</v>
      </c>
      <c r="C10" s="5">
        <v>3</v>
      </c>
      <c r="D10" s="5">
        <v>4</v>
      </c>
      <c r="E10" s="5">
        <v>5</v>
      </c>
      <c r="F10" s="5">
        <v>6</v>
      </c>
      <c r="G10" s="5">
        <v>7</v>
      </c>
      <c r="H10" s="5">
        <v>8</v>
      </c>
      <c r="I10" s="5">
        <v>9</v>
      </c>
      <c r="J10" s="5">
        <v>10</v>
      </c>
      <c r="K10" s="5">
        <v>11</v>
      </c>
      <c r="L10" s="5">
        <v>12</v>
      </c>
      <c r="M10" s="5">
        <v>13</v>
      </c>
    </row>
    <row r="11" spans="1:16" ht="15">
      <c r="A11" s="14" t="s">
        <v>105</v>
      </c>
      <c r="B11" s="15" t="s">
        <v>14</v>
      </c>
      <c r="C11" s="16">
        <f aca="true" t="shared" si="0" ref="C11:L11">C12+C17+C24+C32+C34+C39+C41+C44+C50+C54+C59+C48</f>
        <v>13680707.68</v>
      </c>
      <c r="D11" s="16">
        <f t="shared" si="0"/>
        <v>5215609</v>
      </c>
      <c r="E11" s="16">
        <f t="shared" si="0"/>
        <v>253797.24</v>
      </c>
      <c r="F11" s="16">
        <f t="shared" si="0"/>
        <v>18885586.54</v>
      </c>
      <c r="G11" s="16">
        <f t="shared" si="0"/>
        <v>2310413.0100000002</v>
      </c>
      <c r="H11" s="16">
        <f t="shared" si="0"/>
        <v>5940</v>
      </c>
      <c r="I11" s="16">
        <f t="shared" si="0"/>
        <v>2000</v>
      </c>
      <c r="J11" s="16">
        <f t="shared" si="0"/>
        <v>16575173.529999997</v>
      </c>
      <c r="K11" s="16">
        <f t="shared" si="0"/>
        <v>12355317.959999999</v>
      </c>
      <c r="L11" s="16">
        <f t="shared" si="0"/>
        <v>0</v>
      </c>
      <c r="M11" s="16">
        <f aca="true" t="shared" si="1" ref="M11:M37">C11+F11</f>
        <v>32566294.22</v>
      </c>
      <c r="O11" s="7"/>
      <c r="P11" s="7"/>
    </row>
    <row r="12" spans="1:18" ht="15">
      <c r="A12" s="17">
        <v>10000</v>
      </c>
      <c r="B12" s="15" t="s">
        <v>15</v>
      </c>
      <c r="C12" s="16">
        <f>C13</f>
        <v>6921337.35</v>
      </c>
      <c r="D12" s="16">
        <f aca="true" t="shared" si="2" ref="D12:L12">D13</f>
        <v>4670682</v>
      </c>
      <c r="E12" s="16">
        <f t="shared" si="2"/>
        <v>231149.24</v>
      </c>
      <c r="F12" s="16">
        <f t="shared" si="2"/>
        <v>1307849</v>
      </c>
      <c r="G12" s="16">
        <f t="shared" si="2"/>
        <v>26400</v>
      </c>
      <c r="H12" s="16">
        <f t="shared" si="2"/>
        <v>0</v>
      </c>
      <c r="I12" s="16">
        <f t="shared" si="2"/>
        <v>2000</v>
      </c>
      <c r="J12" s="16">
        <f t="shared" si="2"/>
        <v>1281449</v>
      </c>
      <c r="K12" s="16">
        <f t="shared" si="2"/>
        <v>1281449</v>
      </c>
      <c r="L12" s="16">
        <f t="shared" si="2"/>
        <v>0</v>
      </c>
      <c r="M12" s="16">
        <f t="shared" si="1"/>
        <v>8229186.35</v>
      </c>
      <c r="O12" s="7">
        <f>'[15]Лист1'!$M$11</f>
        <v>8229186.35</v>
      </c>
      <c r="P12" s="7">
        <f>O12-M12</f>
        <v>0</v>
      </c>
      <c r="Q12" s="7"/>
      <c r="R12" s="7">
        <f>Q12-C12</f>
        <v>-6921337.35</v>
      </c>
    </row>
    <row r="13" spans="1:13" ht="28.5">
      <c r="A13" s="10">
        <v>10116</v>
      </c>
      <c r="B13" s="6" t="s">
        <v>55</v>
      </c>
      <c r="C13" s="13">
        <f>SUM(C14:C16)</f>
        <v>6921337.35</v>
      </c>
      <c r="D13" s="13">
        <f>SUM(D14:D16)</f>
        <v>4670682</v>
      </c>
      <c r="E13" s="13">
        <f>SUM(E14:E16)</f>
        <v>231149.24</v>
      </c>
      <c r="F13" s="13">
        <f aca="true" t="shared" si="3" ref="F13:F20">G13+J13</f>
        <v>1307849</v>
      </c>
      <c r="G13" s="13">
        <f aca="true" t="shared" si="4" ref="G13:L13">SUM(G14:G16)</f>
        <v>26400</v>
      </c>
      <c r="H13" s="13">
        <f t="shared" si="4"/>
        <v>0</v>
      </c>
      <c r="I13" s="13">
        <f t="shared" si="4"/>
        <v>2000</v>
      </c>
      <c r="J13" s="13">
        <f t="shared" si="4"/>
        <v>1281449</v>
      </c>
      <c r="K13" s="13">
        <f>SUM(K14:K16)</f>
        <v>1281449</v>
      </c>
      <c r="L13" s="13">
        <f t="shared" si="4"/>
        <v>0</v>
      </c>
      <c r="M13" s="13">
        <f t="shared" si="1"/>
        <v>8229186.35</v>
      </c>
    </row>
    <row r="14" spans="1:15" ht="15">
      <c r="A14" s="10">
        <v>10116</v>
      </c>
      <c r="B14" s="6" t="s">
        <v>14</v>
      </c>
      <c r="C14" s="13">
        <f>3012749.53+348111+494447+60+137000-59900+368000-40000-8927+15331+40000+125000</f>
        <v>4431871.529999999</v>
      </c>
      <c r="D14" s="13">
        <f>1842654+60+255400+362764+100400+270000+95000</f>
        <v>2926278</v>
      </c>
      <c r="E14" s="13">
        <f>148123+5000+2083+7728+2261+6000</f>
        <v>171195</v>
      </c>
      <c r="F14" s="13">
        <f t="shared" si="3"/>
        <v>1217949</v>
      </c>
      <c r="G14" s="13"/>
      <c r="H14" s="13"/>
      <c r="I14" s="13"/>
      <c r="J14" s="13">
        <f>146400+162000+300000+1480000-8400-500000+187958-4450-480000+100000-500000+2546-14470+108227+238138</f>
        <v>1217949</v>
      </c>
      <c r="K14" s="13">
        <f>146400+162000+300000+1480000-8400-500000+187958-4450-480000+100000-500000+2546-14470+108227+238138</f>
        <v>1217949</v>
      </c>
      <c r="L14" s="13"/>
      <c r="M14" s="13">
        <f t="shared" si="1"/>
        <v>5649820.529999999</v>
      </c>
      <c r="O14" s="13">
        <f>3400118-39257.77+0.3-348111</f>
        <v>3012749.53</v>
      </c>
    </row>
    <row r="15" spans="1:13" ht="28.5">
      <c r="A15" s="10">
        <v>10116</v>
      </c>
      <c r="B15" s="6" t="s">
        <v>124</v>
      </c>
      <c r="C15" s="13">
        <f>1171025.4+134665+191275+30000-23200+263000-3176+45400</f>
        <v>1808989.4</v>
      </c>
      <c r="D15" s="13">
        <f>785925+98800+140334+450+22000-17000+200000-2000+37400</f>
        <v>1265909</v>
      </c>
      <c r="E15" s="13">
        <f>44755+1060+2000</f>
        <v>47815</v>
      </c>
      <c r="F15" s="13">
        <f t="shared" si="3"/>
        <v>81500</v>
      </c>
      <c r="G15" s="13">
        <f>26400</f>
        <v>26400</v>
      </c>
      <c r="H15" s="13"/>
      <c r="I15" s="13">
        <f>2000</f>
        <v>2000</v>
      </c>
      <c r="J15" s="13">
        <f>20000+135100-100000</f>
        <v>55100</v>
      </c>
      <c r="K15" s="13">
        <f>20000+135100-100000</f>
        <v>55100</v>
      </c>
      <c r="L15" s="13"/>
      <c r="M15" s="13">
        <f t="shared" si="1"/>
        <v>1890489.4</v>
      </c>
    </row>
    <row r="16" spans="1:16" ht="28.5">
      <c r="A16" s="10">
        <v>10116</v>
      </c>
      <c r="B16" s="6" t="s">
        <v>45</v>
      </c>
      <c r="C16" s="13">
        <f>443837+50624+71965-60+38000-8800+87000-2089.58</f>
        <v>680476.42</v>
      </c>
      <c r="D16" s="13">
        <f>303998+37142+52755+28000-6400+63000</f>
        <v>478495</v>
      </c>
      <c r="E16" s="13">
        <f>9927+1212.24+1000</f>
        <v>12139.24</v>
      </c>
      <c r="F16" s="13">
        <f t="shared" si="3"/>
        <v>8400</v>
      </c>
      <c r="G16" s="13"/>
      <c r="H16" s="13"/>
      <c r="I16" s="13"/>
      <c r="J16" s="13">
        <f>8400</f>
        <v>8400</v>
      </c>
      <c r="K16" s="13">
        <f>8400</f>
        <v>8400</v>
      </c>
      <c r="L16" s="13"/>
      <c r="M16" s="13">
        <f t="shared" si="1"/>
        <v>688876.42</v>
      </c>
      <c r="P16" s="7"/>
    </row>
    <row r="17" spans="1:13" ht="30">
      <c r="A17" s="17">
        <v>90000</v>
      </c>
      <c r="B17" s="15" t="s">
        <v>16</v>
      </c>
      <c r="C17" s="16">
        <f>SUM(C18:C21)</f>
        <v>779060.3400000001</v>
      </c>
      <c r="D17" s="16">
        <f>SUM(D18:D21)</f>
        <v>544927</v>
      </c>
      <c r="E17" s="16">
        <f>SUM(E18:E21)</f>
        <v>22648</v>
      </c>
      <c r="F17" s="16">
        <f t="shared" si="3"/>
        <v>18000</v>
      </c>
      <c r="G17" s="16">
        <f aca="true" t="shared" si="5" ref="G17:L17">SUM(G18:G21)</f>
        <v>13600</v>
      </c>
      <c r="H17" s="16">
        <f t="shared" si="5"/>
        <v>5940</v>
      </c>
      <c r="I17" s="16">
        <f t="shared" si="5"/>
        <v>0</v>
      </c>
      <c r="J17" s="16">
        <f t="shared" si="5"/>
        <v>4400</v>
      </c>
      <c r="K17" s="16">
        <f t="shared" si="5"/>
        <v>0</v>
      </c>
      <c r="L17" s="16">
        <f t="shared" si="5"/>
        <v>0</v>
      </c>
      <c r="M17" s="16">
        <f t="shared" si="1"/>
        <v>797060.3400000001</v>
      </c>
    </row>
    <row r="18" spans="1:16" ht="28.5">
      <c r="A18" s="10">
        <v>90802</v>
      </c>
      <c r="B18" s="6" t="s">
        <v>107</v>
      </c>
      <c r="C18" s="11">
        <f>5000</f>
        <v>5000</v>
      </c>
      <c r="D18" s="11"/>
      <c r="E18" s="11"/>
      <c r="F18" s="13">
        <f t="shared" si="3"/>
        <v>0</v>
      </c>
      <c r="G18" s="11"/>
      <c r="H18" s="11"/>
      <c r="I18" s="11"/>
      <c r="J18" s="11"/>
      <c r="K18" s="11"/>
      <c r="L18" s="11"/>
      <c r="M18" s="11">
        <f t="shared" si="1"/>
        <v>5000</v>
      </c>
      <c r="N18" s="12"/>
      <c r="O18" s="7">
        <f>'[15]Лист1'!M48</f>
        <v>5000</v>
      </c>
      <c r="P18" s="7">
        <f>O18-M18</f>
        <v>0</v>
      </c>
    </row>
    <row r="19" spans="1:16" ht="28.5">
      <c r="A19" s="10">
        <v>91101</v>
      </c>
      <c r="B19" s="6" t="s">
        <v>17</v>
      </c>
      <c r="C19" s="24">
        <f>228100+185885-14582.05+36804-6600-67015-13.31+47000+4480-367+29700+2400+13000</f>
        <v>458791.64</v>
      </c>
      <c r="D19" s="24">
        <f>158073+119075+27002+100-4850-10525-2091-5064+35000-20000-1427+10900+13000+2400</f>
        <v>321593</v>
      </c>
      <c r="E19" s="24">
        <f>6946+7397-5665+2091+3500+120</f>
        <v>14389</v>
      </c>
      <c r="F19" s="13">
        <f t="shared" si="3"/>
        <v>0</v>
      </c>
      <c r="G19" s="13"/>
      <c r="H19" s="13"/>
      <c r="I19" s="13"/>
      <c r="J19" s="13"/>
      <c r="K19" s="13"/>
      <c r="L19" s="13"/>
      <c r="M19" s="13">
        <f t="shared" si="1"/>
        <v>458791.64</v>
      </c>
      <c r="N19" s="12"/>
      <c r="O19" s="7">
        <f>'[15]Лист1'!M49</f>
        <v>458791.64</v>
      </c>
      <c r="P19" s="7">
        <f>O19-M19</f>
        <v>0</v>
      </c>
    </row>
    <row r="20" spans="1:16" ht="28.5">
      <c r="A20" s="10">
        <v>91103</v>
      </c>
      <c r="B20" s="6" t="s">
        <v>18</v>
      </c>
      <c r="C20" s="24">
        <f>14994+15700-4790-8900-10000</f>
        <v>7004</v>
      </c>
      <c r="D20" s="24"/>
      <c r="E20" s="24"/>
      <c r="F20" s="13">
        <f t="shared" si="3"/>
        <v>0</v>
      </c>
      <c r="G20" s="13"/>
      <c r="H20" s="13"/>
      <c r="I20" s="13"/>
      <c r="J20" s="13"/>
      <c r="K20" s="13"/>
      <c r="L20" s="13"/>
      <c r="M20" s="13">
        <f t="shared" si="1"/>
        <v>7004</v>
      </c>
      <c r="N20" s="12"/>
      <c r="O20" s="7">
        <f>'[15]Лист1'!M50</f>
        <v>22004</v>
      </c>
      <c r="P20" s="7">
        <f>O20-M20</f>
        <v>15000</v>
      </c>
    </row>
    <row r="21" spans="1:16" ht="15">
      <c r="A21" s="10">
        <v>91106</v>
      </c>
      <c r="B21" s="6" t="s">
        <v>54</v>
      </c>
      <c r="C21" s="13">
        <f>SUM(C22:C23)</f>
        <v>308264.7</v>
      </c>
      <c r="D21" s="13">
        <f>SUM(D22:D23)</f>
        <v>223334</v>
      </c>
      <c r="E21" s="13">
        <f>SUM(E22:E23)</f>
        <v>8259</v>
      </c>
      <c r="F21" s="13">
        <f>G21+J21</f>
        <v>18000</v>
      </c>
      <c r="G21" s="13">
        <f aca="true" t="shared" si="6" ref="G21:L21">SUM(G22:G23)</f>
        <v>13600</v>
      </c>
      <c r="H21" s="13">
        <f t="shared" si="6"/>
        <v>5940</v>
      </c>
      <c r="I21" s="13">
        <f t="shared" si="6"/>
        <v>0</v>
      </c>
      <c r="J21" s="13">
        <f t="shared" si="6"/>
        <v>4400</v>
      </c>
      <c r="K21" s="13">
        <f t="shared" si="6"/>
        <v>0</v>
      </c>
      <c r="L21" s="13">
        <f t="shared" si="6"/>
        <v>0</v>
      </c>
      <c r="M21" s="13">
        <f t="shared" si="1"/>
        <v>326264.7</v>
      </c>
      <c r="N21" s="12"/>
      <c r="O21" s="7">
        <f>'[15]Лист1'!M51</f>
        <v>326264.7</v>
      </c>
      <c r="P21" s="7">
        <f>O21-M21</f>
        <v>0</v>
      </c>
    </row>
    <row r="22" spans="1:13" ht="15">
      <c r="A22" s="10">
        <v>91106</v>
      </c>
      <c r="B22" s="6" t="s">
        <v>50</v>
      </c>
      <c r="C22" s="13">
        <f>121852-1314.3+39181-4600+23400-394-15331-5000</f>
        <v>157793.7</v>
      </c>
      <c r="D22" s="13">
        <f>70889+28746+200-3375+20000-2000</f>
        <v>114460</v>
      </c>
      <c r="E22" s="13">
        <f>18070-7728-2083</f>
        <v>8259</v>
      </c>
      <c r="F22" s="13">
        <f>G22+J22</f>
        <v>0</v>
      </c>
      <c r="G22" s="13"/>
      <c r="H22" s="13"/>
      <c r="I22" s="13"/>
      <c r="J22" s="13"/>
      <c r="K22" s="13"/>
      <c r="L22" s="13"/>
      <c r="M22" s="13">
        <f t="shared" si="1"/>
        <v>157793.7</v>
      </c>
    </row>
    <row r="23" spans="1:13" ht="28.5">
      <c r="A23" s="10">
        <v>91106</v>
      </c>
      <c r="B23" s="6" t="s">
        <v>51</v>
      </c>
      <c r="C23" s="13">
        <f>116008+37257-4400+10000-394-8000</f>
        <v>150471</v>
      </c>
      <c r="D23" s="13">
        <f>84939+27335-3200+6800-7000</f>
        <v>108874</v>
      </c>
      <c r="E23" s="13"/>
      <c r="F23" s="13">
        <f>G23+J23</f>
        <v>18000</v>
      </c>
      <c r="G23" s="13">
        <f>13600</f>
        <v>13600</v>
      </c>
      <c r="H23" s="13">
        <f>5940</f>
        <v>5940</v>
      </c>
      <c r="I23" s="13"/>
      <c r="J23" s="13">
        <f>4400</f>
        <v>4400</v>
      </c>
      <c r="K23" s="13"/>
      <c r="L23" s="13"/>
      <c r="M23" s="13">
        <f t="shared" si="1"/>
        <v>168471</v>
      </c>
    </row>
    <row r="24" spans="1:13" ht="30">
      <c r="A24" s="17">
        <v>100000</v>
      </c>
      <c r="B24" s="15" t="s">
        <v>19</v>
      </c>
      <c r="C24" s="16">
        <f>SUM(C25:C27)</f>
        <v>4446200</v>
      </c>
      <c r="D24" s="16">
        <f aca="true" t="shared" si="7" ref="D24:L24">SUM(D25:D27)</f>
        <v>0</v>
      </c>
      <c r="E24" s="16">
        <f t="shared" si="7"/>
        <v>0</v>
      </c>
      <c r="F24" s="16">
        <f t="shared" si="7"/>
        <v>3716230.0700000003</v>
      </c>
      <c r="G24" s="16">
        <f t="shared" si="7"/>
        <v>0</v>
      </c>
      <c r="H24" s="16">
        <f t="shared" si="7"/>
        <v>0</v>
      </c>
      <c r="I24" s="16">
        <f t="shared" si="7"/>
        <v>0</v>
      </c>
      <c r="J24" s="16">
        <f t="shared" si="7"/>
        <v>3716230.0700000003</v>
      </c>
      <c r="K24" s="16">
        <f t="shared" si="7"/>
        <v>3716230.0700000003</v>
      </c>
      <c r="L24" s="16">
        <f t="shared" si="7"/>
        <v>0</v>
      </c>
      <c r="M24" s="16">
        <f t="shared" si="1"/>
        <v>8162430.07</v>
      </c>
    </row>
    <row r="25" spans="1:16" ht="28.5">
      <c r="A25" s="41">
        <v>100102</v>
      </c>
      <c r="B25" s="43" t="s">
        <v>118</v>
      </c>
      <c r="C25" s="16"/>
      <c r="D25" s="33"/>
      <c r="E25" s="33"/>
      <c r="F25" s="13">
        <f aca="true" t="shared" si="8" ref="F25:F31">G25+J25</f>
        <v>193746</v>
      </c>
      <c r="G25" s="33"/>
      <c r="H25" s="33"/>
      <c r="I25" s="33"/>
      <c r="J25" s="48">
        <f>800000+34000+200000+97000+30000+61224-150000-200000-615400-33078-30000</f>
        <v>193746</v>
      </c>
      <c r="K25" s="48">
        <f>800000+34000+200000+97000+30000+61224-150000-200000-615400-33078-30000</f>
        <v>193746</v>
      </c>
      <c r="L25" s="33"/>
      <c r="M25" s="13">
        <f t="shared" si="1"/>
        <v>193746</v>
      </c>
      <c r="O25" s="7">
        <f>'[15]Лист1'!M60</f>
        <v>193746</v>
      </c>
      <c r="P25" s="7">
        <f>O25-M25</f>
        <v>0</v>
      </c>
    </row>
    <row r="26" spans="1:16" ht="28.5">
      <c r="A26" s="10">
        <v>100202</v>
      </c>
      <c r="B26" s="6" t="s">
        <v>112</v>
      </c>
      <c r="C26" s="16"/>
      <c r="D26" s="13"/>
      <c r="E26" s="13"/>
      <c r="F26" s="13">
        <f t="shared" si="8"/>
        <v>2899183.75</v>
      </c>
      <c r="G26" s="13"/>
      <c r="H26" s="13"/>
      <c r="I26" s="13"/>
      <c r="J26" s="13">
        <f>547968+75250+700000+9521+1541800+24644.75</f>
        <v>2899183.75</v>
      </c>
      <c r="K26" s="13">
        <f>547968+75250+700000+9521+1541800+24644.75</f>
        <v>2899183.75</v>
      </c>
      <c r="L26" s="13"/>
      <c r="M26" s="13">
        <f t="shared" si="1"/>
        <v>2899183.75</v>
      </c>
      <c r="O26" s="7">
        <f>'[15]Лист1'!M61</f>
        <v>2899183.75</v>
      </c>
      <c r="P26" s="7">
        <f>O26-M26</f>
        <v>0</v>
      </c>
    </row>
    <row r="27" spans="1:16" ht="28.5">
      <c r="A27" s="10">
        <v>100203</v>
      </c>
      <c r="B27" s="6" t="s">
        <v>53</v>
      </c>
      <c r="C27" s="13">
        <f>SUM(C28:C31)</f>
        <v>4446200</v>
      </c>
      <c r="D27" s="13">
        <f>SUM(D28:D31)</f>
        <v>0</v>
      </c>
      <c r="E27" s="13">
        <f>SUM(E28:E31)</f>
        <v>0</v>
      </c>
      <c r="F27" s="13">
        <f>SUM(F28:F31)</f>
        <v>623300.3200000001</v>
      </c>
      <c r="G27" s="13"/>
      <c r="H27" s="13"/>
      <c r="I27" s="13"/>
      <c r="J27" s="13">
        <f>SUM(J28:J30)</f>
        <v>623300.3200000001</v>
      </c>
      <c r="K27" s="13">
        <f>SUM(K28:K30)</f>
        <v>623300.3200000001</v>
      </c>
      <c r="L27" s="13"/>
      <c r="M27" s="13">
        <f t="shared" si="1"/>
        <v>5069500.32</v>
      </c>
      <c r="O27" s="7">
        <f>'[15]Лист1'!M62</f>
        <v>5069500.32</v>
      </c>
      <c r="P27" s="7">
        <f>O27-M27</f>
        <v>0</v>
      </c>
    </row>
    <row r="28" spans="1:13" ht="15">
      <c r="A28" s="10">
        <v>100203</v>
      </c>
      <c r="B28" s="6" t="s">
        <v>52</v>
      </c>
      <c r="C28" s="13">
        <f>1500000+15000-15000-72000+273800</f>
        <v>1701800</v>
      </c>
      <c r="D28" s="13"/>
      <c r="E28" s="13"/>
      <c r="F28" s="13">
        <f t="shared" si="8"/>
        <v>0</v>
      </c>
      <c r="G28" s="13"/>
      <c r="H28" s="13"/>
      <c r="I28" s="13"/>
      <c r="J28" s="13"/>
      <c r="K28" s="13"/>
      <c r="L28" s="13"/>
      <c r="M28" s="13">
        <f t="shared" si="1"/>
        <v>1701800</v>
      </c>
    </row>
    <row r="29" spans="1:13" ht="28.5">
      <c r="A29" s="10">
        <v>100203</v>
      </c>
      <c r="B29" s="6" t="s">
        <v>56</v>
      </c>
      <c r="C29" s="13">
        <f>1500000+492400</f>
        <v>1992400</v>
      </c>
      <c r="D29" s="13"/>
      <c r="E29" s="13"/>
      <c r="F29" s="13">
        <f t="shared" si="8"/>
        <v>371600</v>
      </c>
      <c r="G29" s="13"/>
      <c r="H29" s="13"/>
      <c r="I29" s="13"/>
      <c r="J29" s="13">
        <f>371600</f>
        <v>371600</v>
      </c>
      <c r="K29" s="13">
        <f>371600</f>
        <v>371600</v>
      </c>
      <c r="L29" s="13"/>
      <c r="M29" s="13">
        <f t="shared" si="1"/>
        <v>2364000</v>
      </c>
    </row>
    <row r="30" spans="1:13" ht="15">
      <c r="A30" s="10">
        <v>100203</v>
      </c>
      <c r="B30" s="6" t="s">
        <v>57</v>
      </c>
      <c r="C30" s="13">
        <f>700000+52000</f>
        <v>752000</v>
      </c>
      <c r="D30" s="13"/>
      <c r="E30" s="13"/>
      <c r="F30" s="13">
        <f t="shared" si="8"/>
        <v>251700.32</v>
      </c>
      <c r="G30" s="13"/>
      <c r="H30" s="13"/>
      <c r="I30" s="13"/>
      <c r="J30" s="13">
        <f>200000+90400-38699.68</f>
        <v>251700.32</v>
      </c>
      <c r="K30" s="13">
        <f>200000+90400-38699.68</f>
        <v>251700.32</v>
      </c>
      <c r="L30" s="13"/>
      <c r="M30" s="13">
        <f t="shared" si="1"/>
        <v>1003700.3200000001</v>
      </c>
    </row>
    <row r="31" spans="1:13" ht="15">
      <c r="A31" s="10">
        <v>100203</v>
      </c>
      <c r="B31" s="6" t="s">
        <v>133</v>
      </c>
      <c r="C31" s="13">
        <f>15000-15000</f>
        <v>0</v>
      </c>
      <c r="D31" s="13"/>
      <c r="E31" s="13"/>
      <c r="F31" s="13">
        <f t="shared" si="8"/>
        <v>0</v>
      </c>
      <c r="G31" s="13"/>
      <c r="H31" s="13"/>
      <c r="I31" s="13"/>
      <c r="J31" s="13"/>
      <c r="K31" s="13"/>
      <c r="L31" s="13"/>
      <c r="M31" s="13">
        <f t="shared" si="1"/>
        <v>0</v>
      </c>
    </row>
    <row r="32" spans="1:13" ht="15">
      <c r="A32" s="17">
        <v>110000</v>
      </c>
      <c r="B32" s="15" t="s">
        <v>20</v>
      </c>
      <c r="C32" s="16">
        <f>C33</f>
        <v>35712</v>
      </c>
      <c r="D32" s="16">
        <f>D33</f>
        <v>0</v>
      </c>
      <c r="E32" s="16">
        <f>E33</f>
        <v>0</v>
      </c>
      <c r="F32" s="16">
        <f aca="true" t="shared" si="9" ref="F32:F62">G32+J32</f>
        <v>750000</v>
      </c>
      <c r="G32" s="16">
        <f aca="true" t="shared" si="10" ref="G32:L32">G33</f>
        <v>0</v>
      </c>
      <c r="H32" s="16">
        <f t="shared" si="10"/>
        <v>0</v>
      </c>
      <c r="I32" s="16">
        <f t="shared" si="10"/>
        <v>0</v>
      </c>
      <c r="J32" s="16">
        <f t="shared" si="10"/>
        <v>750000</v>
      </c>
      <c r="K32" s="16">
        <f t="shared" si="10"/>
        <v>750000</v>
      </c>
      <c r="L32" s="16">
        <f t="shared" si="10"/>
        <v>0</v>
      </c>
      <c r="M32" s="16">
        <f t="shared" si="1"/>
        <v>785712</v>
      </c>
    </row>
    <row r="33" spans="1:16" ht="28.5">
      <c r="A33" s="10">
        <v>110502</v>
      </c>
      <c r="B33" s="6" t="s">
        <v>21</v>
      </c>
      <c r="C33" s="13">
        <f>50000-25000-288+11000</f>
        <v>35712</v>
      </c>
      <c r="D33" s="13"/>
      <c r="E33" s="13"/>
      <c r="F33" s="13">
        <f t="shared" si="9"/>
        <v>750000</v>
      </c>
      <c r="G33" s="13"/>
      <c r="H33" s="13"/>
      <c r="I33" s="13"/>
      <c r="J33" s="13">
        <f>100000+750000-100000</f>
        <v>750000</v>
      </c>
      <c r="K33" s="13">
        <f>100000+750000-100000</f>
        <v>750000</v>
      </c>
      <c r="L33" s="13"/>
      <c r="M33" s="13">
        <f t="shared" si="1"/>
        <v>785712</v>
      </c>
      <c r="O33">
        <f>50000+100000-25000-288+11000+750000-100000</f>
        <v>785712</v>
      </c>
      <c r="P33" s="7">
        <f>O33-M33</f>
        <v>0</v>
      </c>
    </row>
    <row r="34" spans="1:13" ht="15">
      <c r="A34" s="17">
        <v>120000</v>
      </c>
      <c r="B34" s="15" t="s">
        <v>22</v>
      </c>
      <c r="C34" s="16">
        <f>C35+C37</f>
        <v>200000</v>
      </c>
      <c r="D34" s="16">
        <f>D35+D37</f>
        <v>0</v>
      </c>
      <c r="E34" s="16">
        <f>E35+E37</f>
        <v>0</v>
      </c>
      <c r="F34" s="16">
        <f t="shared" si="9"/>
        <v>6000</v>
      </c>
      <c r="G34" s="16">
        <f aca="true" t="shared" si="11" ref="G34:L34">G35+G37</f>
        <v>0</v>
      </c>
      <c r="H34" s="16">
        <f t="shared" si="11"/>
        <v>0</v>
      </c>
      <c r="I34" s="16">
        <f t="shared" si="11"/>
        <v>0</v>
      </c>
      <c r="J34" s="16">
        <f t="shared" si="11"/>
        <v>6000</v>
      </c>
      <c r="K34" s="16">
        <f t="shared" si="11"/>
        <v>6000</v>
      </c>
      <c r="L34" s="16">
        <f t="shared" si="11"/>
        <v>0</v>
      </c>
      <c r="M34" s="16">
        <f t="shared" si="1"/>
        <v>206000</v>
      </c>
    </row>
    <row r="35" spans="1:16" ht="28.5">
      <c r="A35" s="10">
        <v>120100</v>
      </c>
      <c r="B35" s="6" t="s">
        <v>62</v>
      </c>
      <c r="C35" s="13">
        <f>C36</f>
        <v>70000</v>
      </c>
      <c r="D35" s="13"/>
      <c r="E35" s="13"/>
      <c r="F35" s="13">
        <f t="shared" si="9"/>
        <v>0</v>
      </c>
      <c r="G35" s="13"/>
      <c r="H35" s="13"/>
      <c r="I35" s="13"/>
      <c r="J35" s="13"/>
      <c r="K35" s="13"/>
      <c r="L35" s="13"/>
      <c r="M35" s="13">
        <f t="shared" si="1"/>
        <v>70000</v>
      </c>
      <c r="O35" s="7">
        <f>'[15]Лист1'!$M$71</f>
        <v>70000</v>
      </c>
      <c r="P35" s="7">
        <f>O35-M35</f>
        <v>0</v>
      </c>
    </row>
    <row r="36" spans="1:13" ht="28.5">
      <c r="A36" s="10">
        <v>120100</v>
      </c>
      <c r="B36" s="6" t="s">
        <v>64</v>
      </c>
      <c r="C36" s="13">
        <f>70000</f>
        <v>70000</v>
      </c>
      <c r="D36" s="13"/>
      <c r="E36" s="13"/>
      <c r="F36" s="13">
        <f t="shared" si="9"/>
        <v>0</v>
      </c>
      <c r="G36" s="13"/>
      <c r="H36" s="13"/>
      <c r="I36" s="13"/>
      <c r="J36" s="13"/>
      <c r="K36" s="13"/>
      <c r="L36" s="13"/>
      <c r="M36" s="13">
        <f t="shared" si="1"/>
        <v>70000</v>
      </c>
    </row>
    <row r="37" spans="1:16" ht="28.5">
      <c r="A37" s="10">
        <v>120201</v>
      </c>
      <c r="B37" s="6" t="s">
        <v>58</v>
      </c>
      <c r="C37" s="13">
        <f>C38</f>
        <v>130000</v>
      </c>
      <c r="D37" s="13"/>
      <c r="E37" s="13"/>
      <c r="F37" s="13">
        <f t="shared" si="9"/>
        <v>6000</v>
      </c>
      <c r="G37" s="13"/>
      <c r="H37" s="13"/>
      <c r="I37" s="13"/>
      <c r="J37" s="13">
        <f>J38</f>
        <v>6000</v>
      </c>
      <c r="K37" s="13">
        <f>K38</f>
        <v>6000</v>
      </c>
      <c r="L37" s="13"/>
      <c r="M37" s="13">
        <f t="shared" si="1"/>
        <v>136000</v>
      </c>
      <c r="O37" s="7">
        <f>'[15]Лист1'!$M$72</f>
        <v>136000</v>
      </c>
      <c r="P37" s="7">
        <f>O37-M37</f>
        <v>0</v>
      </c>
    </row>
    <row r="38" spans="1:13" ht="28.5">
      <c r="A38" s="10">
        <v>120201</v>
      </c>
      <c r="B38" s="6" t="s">
        <v>63</v>
      </c>
      <c r="C38" s="13">
        <f>130000</f>
        <v>130000</v>
      </c>
      <c r="D38" s="13"/>
      <c r="E38" s="13"/>
      <c r="F38" s="13">
        <f t="shared" si="9"/>
        <v>6000</v>
      </c>
      <c r="G38" s="13"/>
      <c r="H38" s="13"/>
      <c r="I38" s="13"/>
      <c r="J38" s="13">
        <f>6000</f>
        <v>6000</v>
      </c>
      <c r="K38" s="13">
        <f>6000</f>
        <v>6000</v>
      </c>
      <c r="L38" s="13"/>
      <c r="M38" s="13">
        <f aca="true" t="shared" si="12" ref="M38:M57">C38+F38</f>
        <v>136000</v>
      </c>
    </row>
    <row r="39" spans="1:13" ht="15">
      <c r="A39" s="17">
        <v>130000</v>
      </c>
      <c r="B39" s="15" t="s">
        <v>23</v>
      </c>
      <c r="C39" s="16">
        <f>C40</f>
        <v>160000</v>
      </c>
      <c r="D39" s="16">
        <f>D40</f>
        <v>0</v>
      </c>
      <c r="E39" s="16">
        <f>E40</f>
        <v>0</v>
      </c>
      <c r="F39" s="16">
        <f t="shared" si="9"/>
        <v>0</v>
      </c>
      <c r="G39" s="16">
        <f aca="true" t="shared" si="13" ref="G39:L39">G40</f>
        <v>0</v>
      </c>
      <c r="H39" s="16">
        <f t="shared" si="13"/>
        <v>0</v>
      </c>
      <c r="I39" s="16">
        <f t="shared" si="13"/>
        <v>0</v>
      </c>
      <c r="J39" s="16">
        <f t="shared" si="13"/>
        <v>0</v>
      </c>
      <c r="K39" s="16">
        <f t="shared" si="13"/>
        <v>0</v>
      </c>
      <c r="L39" s="16">
        <f t="shared" si="13"/>
        <v>0</v>
      </c>
      <c r="M39" s="16">
        <f t="shared" si="12"/>
        <v>160000</v>
      </c>
    </row>
    <row r="40" spans="1:16" ht="28.5">
      <c r="A40" s="10">
        <v>130102</v>
      </c>
      <c r="B40" s="6" t="s">
        <v>24</v>
      </c>
      <c r="C40" s="13">
        <f>100000-40000+60000+40000</f>
        <v>160000</v>
      </c>
      <c r="D40" s="13"/>
      <c r="E40" s="13"/>
      <c r="F40" s="13">
        <f t="shared" si="9"/>
        <v>0</v>
      </c>
      <c r="G40" s="13"/>
      <c r="H40" s="13"/>
      <c r="I40" s="13"/>
      <c r="J40" s="13"/>
      <c r="K40" s="13"/>
      <c r="L40" s="13"/>
      <c r="M40" s="13">
        <f t="shared" si="12"/>
        <v>160000</v>
      </c>
      <c r="O40" s="7">
        <f>'[15]Лист1'!$M$74</f>
        <v>160000</v>
      </c>
      <c r="P40" s="7">
        <f aca="true" t="shared" si="14" ref="P40:P57">O40-M40</f>
        <v>0</v>
      </c>
    </row>
    <row r="41" spans="1:15" s="23" customFormat="1" ht="15">
      <c r="A41" s="25">
        <v>150000</v>
      </c>
      <c r="B41" s="26" t="s">
        <v>91</v>
      </c>
      <c r="C41" s="27">
        <f aca="true" t="shared" si="15" ref="C41:J41">SUM(C42:C43)</f>
        <v>0</v>
      </c>
      <c r="D41" s="27">
        <f t="shared" si="15"/>
        <v>0</v>
      </c>
      <c r="E41" s="27">
        <f t="shared" si="15"/>
        <v>0</v>
      </c>
      <c r="F41" s="27">
        <f t="shared" si="15"/>
        <v>2288121.03</v>
      </c>
      <c r="G41" s="27">
        <f t="shared" si="15"/>
        <v>0</v>
      </c>
      <c r="H41" s="27">
        <f t="shared" si="15"/>
        <v>0</v>
      </c>
      <c r="I41" s="27">
        <f t="shared" si="15"/>
        <v>0</v>
      </c>
      <c r="J41" s="27">
        <f t="shared" si="15"/>
        <v>2288121.03</v>
      </c>
      <c r="K41" s="27">
        <f>SUM(K42:K43)</f>
        <v>1319069.03</v>
      </c>
      <c r="L41" s="27">
        <f>SUM(L42:L43)</f>
        <v>0</v>
      </c>
      <c r="M41" s="27">
        <f t="shared" si="12"/>
        <v>2288121.03</v>
      </c>
      <c r="O41" s="30"/>
    </row>
    <row r="42" spans="1:16" s="23" customFormat="1" ht="15">
      <c r="A42" s="20">
        <v>150101</v>
      </c>
      <c r="B42" s="21" t="s">
        <v>92</v>
      </c>
      <c r="C42" s="22"/>
      <c r="D42" s="22"/>
      <c r="E42" s="22"/>
      <c r="F42" s="22">
        <f>G42+J42</f>
        <v>2201475.03</v>
      </c>
      <c r="G42" s="22"/>
      <c r="H42" s="22"/>
      <c r="I42" s="22"/>
      <c r="J42" s="28">
        <f>90400+234473+84979+510000+677204.8-84979-9521+500000-112804.8+400000+100000+650000-90400-750000-150000+969052-650000-166928.97</f>
        <v>2201475.03</v>
      </c>
      <c r="K42" s="28">
        <f>90400+234473+84979+510000+677204.8-84979-9521+500000-112804.8+400000+100000+650000-90400-750000-150000-650000-166928.97</f>
        <v>1232423.03</v>
      </c>
      <c r="L42" s="22"/>
      <c r="M42" s="22">
        <f t="shared" si="12"/>
        <v>2201475.03</v>
      </c>
      <c r="O42" s="30">
        <f>'[15]Лист1'!M77</f>
        <v>2201475.03</v>
      </c>
      <c r="P42" s="7">
        <f t="shared" si="14"/>
        <v>0</v>
      </c>
    </row>
    <row r="43" spans="1:16" s="23" customFormat="1" ht="28.5">
      <c r="A43" s="35">
        <v>150202</v>
      </c>
      <c r="B43" s="36" t="s">
        <v>115</v>
      </c>
      <c r="C43" s="24"/>
      <c r="D43" s="24"/>
      <c r="E43" s="24"/>
      <c r="F43" s="24">
        <f>G43+J43</f>
        <v>86646</v>
      </c>
      <c r="G43" s="24"/>
      <c r="H43" s="24"/>
      <c r="I43" s="24"/>
      <c r="J43" s="24">
        <f>25000+83000+85000-85000-21354</f>
        <v>86646</v>
      </c>
      <c r="K43" s="24">
        <f>25000+83000+85000-85000-21354</f>
        <v>86646</v>
      </c>
      <c r="L43" s="24"/>
      <c r="M43" s="37">
        <f t="shared" si="12"/>
        <v>86646</v>
      </c>
      <c r="O43" s="30">
        <f>'[15]Лист1'!M78</f>
        <v>86646</v>
      </c>
      <c r="P43" s="7">
        <f t="shared" si="14"/>
        <v>0</v>
      </c>
    </row>
    <row r="44" spans="1:13" ht="45">
      <c r="A44" s="17">
        <v>170000</v>
      </c>
      <c r="B44" s="15" t="s">
        <v>25</v>
      </c>
      <c r="C44" s="16">
        <f>C45</f>
        <v>0</v>
      </c>
      <c r="D44" s="16">
        <f>D45</f>
        <v>0</v>
      </c>
      <c r="E44" s="16">
        <f>E45</f>
        <v>0</v>
      </c>
      <c r="F44" s="16">
        <f t="shared" si="9"/>
        <v>7532089.01</v>
      </c>
      <c r="G44" s="16">
        <f aca="true" t="shared" si="16" ref="G44:L44">SUM(G45:G47)</f>
        <v>2199690.12</v>
      </c>
      <c r="H44" s="16">
        <f t="shared" si="16"/>
        <v>0</v>
      </c>
      <c r="I44" s="16">
        <f t="shared" si="16"/>
        <v>0</v>
      </c>
      <c r="J44" s="16">
        <f t="shared" si="16"/>
        <v>5332398.89</v>
      </c>
      <c r="K44" s="16">
        <f t="shared" si="16"/>
        <v>2085995.32</v>
      </c>
      <c r="L44" s="16">
        <f t="shared" si="16"/>
        <v>0</v>
      </c>
      <c r="M44" s="16">
        <f t="shared" si="12"/>
        <v>7532089.01</v>
      </c>
    </row>
    <row r="45" spans="1:16" ht="72.75" customHeight="1">
      <c r="A45" s="10">
        <v>170703</v>
      </c>
      <c r="B45" s="6" t="s">
        <v>108</v>
      </c>
      <c r="C45" s="13"/>
      <c r="D45" s="13"/>
      <c r="E45" s="13"/>
      <c r="F45" s="37">
        <f t="shared" si="9"/>
        <v>3140261.1100000003</v>
      </c>
      <c r="G45" s="28">
        <f>942700+16565.79+95000</f>
        <v>1054265.79</v>
      </c>
      <c r="H45" s="28"/>
      <c r="I45" s="28"/>
      <c r="J45" s="24">
        <f>226000+84979+615400+1159616.32</f>
        <v>2085995.32</v>
      </c>
      <c r="K45" s="24">
        <f>226000+84979+615400+1159616.32</f>
        <v>2085995.32</v>
      </c>
      <c r="L45" s="37"/>
      <c r="M45" s="37">
        <f t="shared" si="12"/>
        <v>3140261.1100000003</v>
      </c>
      <c r="O45" s="7">
        <f>'[15]Лист1'!M83</f>
        <v>3140261.1100000003</v>
      </c>
      <c r="P45" s="7">
        <f t="shared" si="14"/>
        <v>0</v>
      </c>
    </row>
    <row r="46" spans="1:16" s="23" customFormat="1" ht="71.25">
      <c r="A46" s="20">
        <v>170703</v>
      </c>
      <c r="B46" s="21" t="s">
        <v>123</v>
      </c>
      <c r="C46" s="22"/>
      <c r="D46" s="22"/>
      <c r="E46" s="22"/>
      <c r="F46" s="38">
        <f>G46+J46</f>
        <v>3177648.1</v>
      </c>
      <c r="G46" s="28">
        <f>720300+63595.75+94600-3200</f>
        <v>875295.75</v>
      </c>
      <c r="H46" s="28"/>
      <c r="I46" s="28"/>
      <c r="J46" s="28">
        <f>1530500+567452.35+201200+3200</f>
        <v>2302352.35</v>
      </c>
      <c r="K46" s="28"/>
      <c r="L46" s="38"/>
      <c r="M46" s="38">
        <f>C46+F46</f>
        <v>3177648.1</v>
      </c>
      <c r="O46" s="7">
        <f>'[15]Лист1'!M84</f>
        <v>3177648.1</v>
      </c>
      <c r="P46" s="7">
        <f t="shared" si="14"/>
        <v>0</v>
      </c>
    </row>
    <row r="47" spans="1:16" s="23" customFormat="1" ht="72" customHeight="1">
      <c r="A47" s="20">
        <v>170703</v>
      </c>
      <c r="B47" s="21" t="s">
        <v>122</v>
      </c>
      <c r="C47" s="44"/>
      <c r="D47" s="44"/>
      <c r="E47" s="44"/>
      <c r="F47" s="38">
        <f>G47+J47</f>
        <v>1214179.8</v>
      </c>
      <c r="G47" s="28">
        <f>269000-1600+2728.58</f>
        <v>270128.58</v>
      </c>
      <c r="H47" s="28"/>
      <c r="I47" s="28"/>
      <c r="J47" s="28">
        <f>571500+372651.22+1600-1700</f>
        <v>944051.22</v>
      </c>
      <c r="K47" s="28"/>
      <c r="L47" s="28"/>
      <c r="M47" s="28">
        <f>C47+F47</f>
        <v>1214179.8</v>
      </c>
      <c r="O47" s="7">
        <f>'[15]Лист1'!M85</f>
        <v>1214179.8</v>
      </c>
      <c r="P47" s="7">
        <f t="shared" si="14"/>
        <v>0</v>
      </c>
    </row>
    <row r="48" spans="1:16" s="23" customFormat="1" ht="30">
      <c r="A48" s="31">
        <v>180000</v>
      </c>
      <c r="B48" s="32" t="s">
        <v>113</v>
      </c>
      <c r="C48" s="33">
        <f>C49</f>
        <v>0</v>
      </c>
      <c r="D48" s="33">
        <f aca="true" t="shared" si="17" ref="D48:L48">D49</f>
        <v>0</v>
      </c>
      <c r="E48" s="33">
        <f t="shared" si="17"/>
        <v>0</v>
      </c>
      <c r="F48" s="33">
        <f t="shared" si="17"/>
        <v>1655078</v>
      </c>
      <c r="G48" s="33">
        <f t="shared" si="17"/>
        <v>0</v>
      </c>
      <c r="H48" s="33">
        <f t="shared" si="17"/>
        <v>0</v>
      </c>
      <c r="I48" s="33">
        <f t="shared" si="17"/>
        <v>0</v>
      </c>
      <c r="J48" s="33">
        <f t="shared" si="17"/>
        <v>1655078</v>
      </c>
      <c r="K48" s="33">
        <f t="shared" si="17"/>
        <v>1655078</v>
      </c>
      <c r="L48" s="33">
        <f t="shared" si="17"/>
        <v>0</v>
      </c>
      <c r="M48" s="33">
        <f>C48+F48</f>
        <v>1655078</v>
      </c>
      <c r="O48" s="7"/>
      <c r="P48" s="7"/>
    </row>
    <row r="49" spans="1:16" s="23" customFormat="1" ht="50.25" customHeight="1">
      <c r="A49" s="34">
        <v>180409</v>
      </c>
      <c r="B49" s="21" t="s">
        <v>114</v>
      </c>
      <c r="C49" s="24"/>
      <c r="D49" s="24"/>
      <c r="E49" s="24"/>
      <c r="F49" s="37">
        <f>G49+J49</f>
        <v>1655078</v>
      </c>
      <c r="G49" s="24"/>
      <c r="H49" s="24"/>
      <c r="I49" s="24"/>
      <c r="J49" s="24">
        <f>50000+420000+422000+150000+100000+200000+150000+33078+130000</f>
        <v>1655078</v>
      </c>
      <c r="K49" s="24">
        <f>50000+420000+422000+150000+100000+200000+150000+33078+130000</f>
        <v>1655078</v>
      </c>
      <c r="L49" s="24"/>
      <c r="M49" s="24">
        <f>C49+F49</f>
        <v>1655078</v>
      </c>
      <c r="O49" s="7">
        <f>'[15]Лист1'!M86</f>
        <v>1655078</v>
      </c>
      <c r="P49" s="7">
        <f t="shared" si="14"/>
        <v>0</v>
      </c>
    </row>
    <row r="50" spans="1:13" ht="45">
      <c r="A50" s="17">
        <v>210000</v>
      </c>
      <c r="B50" s="15" t="s">
        <v>26</v>
      </c>
      <c r="C50" s="16">
        <f>SUM(C51:C53)</f>
        <v>696363.5800000001</v>
      </c>
      <c r="D50" s="16">
        <f aca="true" t="shared" si="18" ref="D50:L50">SUM(D51:D53)</f>
        <v>0</v>
      </c>
      <c r="E50" s="16">
        <f t="shared" si="18"/>
        <v>0</v>
      </c>
      <c r="F50" s="16">
        <f t="shared" si="18"/>
        <v>75899.94</v>
      </c>
      <c r="G50" s="16">
        <f t="shared" si="18"/>
        <v>0</v>
      </c>
      <c r="H50" s="16">
        <f t="shared" si="18"/>
        <v>0</v>
      </c>
      <c r="I50" s="16">
        <f t="shared" si="18"/>
        <v>0</v>
      </c>
      <c r="J50" s="16">
        <f t="shared" si="18"/>
        <v>75899.94</v>
      </c>
      <c r="K50" s="16">
        <f t="shared" si="18"/>
        <v>75899.94</v>
      </c>
      <c r="L50" s="16">
        <f t="shared" si="18"/>
        <v>0</v>
      </c>
      <c r="M50" s="16">
        <f>F50+C50</f>
        <v>772263.52</v>
      </c>
    </row>
    <row r="51" spans="1:16" ht="42.75">
      <c r="A51" s="35">
        <v>210105</v>
      </c>
      <c r="B51" s="6" t="s">
        <v>134</v>
      </c>
      <c r="C51" s="11">
        <f>11656.58+8451</f>
        <v>20107.58</v>
      </c>
      <c r="D51" s="16"/>
      <c r="E51" s="16"/>
      <c r="F51" s="13">
        <f t="shared" si="9"/>
        <v>0</v>
      </c>
      <c r="G51" s="16"/>
      <c r="H51" s="16"/>
      <c r="I51" s="16"/>
      <c r="J51" s="16"/>
      <c r="K51" s="16"/>
      <c r="L51" s="16"/>
      <c r="M51" s="13">
        <f t="shared" si="12"/>
        <v>20107.58</v>
      </c>
      <c r="O51" s="7">
        <f>'[15]Лист1'!M89</f>
        <v>20107.58</v>
      </c>
      <c r="P51" s="7">
        <f t="shared" si="14"/>
        <v>0</v>
      </c>
    </row>
    <row r="52" spans="1:16" ht="57">
      <c r="A52" s="41">
        <v>210106</v>
      </c>
      <c r="B52" s="42" t="s">
        <v>117</v>
      </c>
      <c r="C52" s="11">
        <f>20000+55000+24892+268964+107400</f>
        <v>476256</v>
      </c>
      <c r="D52" s="16"/>
      <c r="E52" s="16"/>
      <c r="F52" s="13">
        <f t="shared" si="9"/>
        <v>38899.94</v>
      </c>
      <c r="G52" s="16"/>
      <c r="H52" s="16"/>
      <c r="I52" s="16"/>
      <c r="J52" s="11">
        <f>24000+30000+10900-10900-15100.06</f>
        <v>38899.94</v>
      </c>
      <c r="K52" s="11">
        <f>24000+30000+10900-10900-15100.06</f>
        <v>38899.94</v>
      </c>
      <c r="L52" s="16"/>
      <c r="M52" s="13">
        <f t="shared" si="12"/>
        <v>515155.94</v>
      </c>
      <c r="O52" s="7">
        <f>'[13]Лист1'!M90</f>
        <v>530256</v>
      </c>
      <c r="P52" s="7">
        <f t="shared" si="14"/>
        <v>15100.059999999998</v>
      </c>
    </row>
    <row r="53" spans="1:16" ht="28.5">
      <c r="A53" s="10">
        <v>210110</v>
      </c>
      <c r="B53" s="6" t="s">
        <v>27</v>
      </c>
      <c r="C53" s="24">
        <f>200000</f>
        <v>200000</v>
      </c>
      <c r="D53" s="13"/>
      <c r="E53" s="13"/>
      <c r="F53" s="13">
        <f t="shared" si="9"/>
        <v>37000</v>
      </c>
      <c r="G53" s="13"/>
      <c r="H53" s="13"/>
      <c r="I53" s="13"/>
      <c r="J53" s="11">
        <f>30280+6720</f>
        <v>37000</v>
      </c>
      <c r="K53" s="11">
        <f>30280+6720</f>
        <v>37000</v>
      </c>
      <c r="L53" s="13"/>
      <c r="M53" s="13">
        <f t="shared" si="12"/>
        <v>237000</v>
      </c>
      <c r="O53" s="7">
        <f>'[15]Лист1'!M91</f>
        <v>237000</v>
      </c>
      <c r="P53" s="7">
        <f t="shared" si="14"/>
        <v>0</v>
      </c>
    </row>
    <row r="54" spans="1:13" ht="15">
      <c r="A54" s="17">
        <v>240000</v>
      </c>
      <c r="B54" s="15" t="s">
        <v>28</v>
      </c>
      <c r="C54" s="16">
        <f>C55+C57</f>
        <v>0</v>
      </c>
      <c r="D54" s="16">
        <f aca="true" t="shared" si="19" ref="D54:L54">D55+D57</f>
        <v>0</v>
      </c>
      <c r="E54" s="16">
        <f t="shared" si="19"/>
        <v>0</v>
      </c>
      <c r="F54" s="16">
        <f t="shared" si="19"/>
        <v>70722.89</v>
      </c>
      <c r="G54" s="16">
        <f t="shared" si="19"/>
        <v>70722.89</v>
      </c>
      <c r="H54" s="16">
        <f t="shared" si="19"/>
        <v>0</v>
      </c>
      <c r="I54" s="16">
        <f t="shared" si="19"/>
        <v>0</v>
      </c>
      <c r="J54" s="16">
        <f t="shared" si="19"/>
        <v>0</v>
      </c>
      <c r="K54" s="16">
        <f t="shared" si="19"/>
        <v>0</v>
      </c>
      <c r="L54" s="16">
        <f t="shared" si="19"/>
        <v>0</v>
      </c>
      <c r="M54" s="16">
        <f t="shared" si="12"/>
        <v>70722.89</v>
      </c>
    </row>
    <row r="55" spans="1:16" ht="42.75">
      <c r="A55" s="10">
        <v>240601</v>
      </c>
      <c r="B55" s="6" t="s">
        <v>67</v>
      </c>
      <c r="C55" s="13"/>
      <c r="D55" s="13"/>
      <c r="E55" s="13"/>
      <c r="F55" s="13">
        <f t="shared" si="9"/>
        <v>67500</v>
      </c>
      <c r="G55" s="13">
        <f>G56</f>
        <v>67500</v>
      </c>
      <c r="H55" s="13"/>
      <c r="I55" s="13"/>
      <c r="J55" s="13"/>
      <c r="K55" s="13"/>
      <c r="L55" s="13"/>
      <c r="M55" s="13">
        <f t="shared" si="12"/>
        <v>67500</v>
      </c>
      <c r="O55" s="7">
        <f>'[15]Лист1'!M93</f>
        <v>67500</v>
      </c>
      <c r="P55" s="7">
        <f t="shared" si="14"/>
        <v>0</v>
      </c>
    </row>
    <row r="56" spans="1:13" ht="28.5">
      <c r="A56" s="10">
        <v>240601</v>
      </c>
      <c r="B56" s="6" t="s">
        <v>56</v>
      </c>
      <c r="C56" s="13"/>
      <c r="D56" s="13"/>
      <c r="E56" s="13"/>
      <c r="F56" s="13">
        <f t="shared" si="9"/>
        <v>67500</v>
      </c>
      <c r="G56" s="13">
        <f>37600+29900</f>
        <v>67500</v>
      </c>
      <c r="H56" s="13"/>
      <c r="I56" s="13"/>
      <c r="J56" s="13"/>
      <c r="K56" s="13"/>
      <c r="L56" s="13"/>
      <c r="M56" s="13">
        <f t="shared" si="12"/>
        <v>67500</v>
      </c>
    </row>
    <row r="57" spans="1:16" ht="15">
      <c r="A57" s="10">
        <v>240602</v>
      </c>
      <c r="B57" s="6" t="s">
        <v>68</v>
      </c>
      <c r="C57" s="13"/>
      <c r="D57" s="13"/>
      <c r="E57" s="13"/>
      <c r="F57" s="13">
        <f t="shared" si="9"/>
        <v>3222.8899999999994</v>
      </c>
      <c r="G57" s="13">
        <f>SUM(G58:G58)</f>
        <v>3222.8899999999994</v>
      </c>
      <c r="H57" s="13"/>
      <c r="I57" s="13"/>
      <c r="J57" s="13">
        <f>SUM(J58:J58)</f>
        <v>0</v>
      </c>
      <c r="K57" s="13"/>
      <c r="L57" s="13"/>
      <c r="M57" s="13">
        <f t="shared" si="12"/>
        <v>3222.8899999999994</v>
      </c>
      <c r="O57" s="7">
        <f>'[15]Лист1'!M94</f>
        <v>3222.8899999999994</v>
      </c>
      <c r="P57" s="7">
        <f t="shared" si="14"/>
        <v>0</v>
      </c>
    </row>
    <row r="58" spans="1:13" ht="15">
      <c r="A58" s="10">
        <v>240602</v>
      </c>
      <c r="B58" s="6" t="s">
        <v>52</v>
      </c>
      <c r="C58" s="13"/>
      <c r="D58" s="13"/>
      <c r="E58" s="13"/>
      <c r="F58" s="13">
        <f>G58+J58</f>
        <v>3222.8899999999994</v>
      </c>
      <c r="G58" s="13">
        <f>30000+3122.89-29900</f>
        <v>3222.8899999999994</v>
      </c>
      <c r="H58" s="13"/>
      <c r="I58" s="13"/>
      <c r="J58" s="13"/>
      <c r="K58" s="13"/>
      <c r="L58" s="13"/>
      <c r="M58" s="13">
        <f aca="true" t="shared" si="20" ref="M58:M88">C58+F58</f>
        <v>3222.8899999999994</v>
      </c>
    </row>
    <row r="59" spans="1:13" ht="30">
      <c r="A59" s="17">
        <v>250000</v>
      </c>
      <c r="B59" s="15" t="s">
        <v>29</v>
      </c>
      <c r="C59" s="16">
        <f aca="true" t="shared" si="21" ref="C59:I59">SUM(C60:C62)</f>
        <v>442034.41</v>
      </c>
      <c r="D59" s="16">
        <f t="shared" si="21"/>
        <v>0</v>
      </c>
      <c r="E59" s="16">
        <f t="shared" si="21"/>
        <v>0</v>
      </c>
      <c r="F59" s="16">
        <f t="shared" si="21"/>
        <v>1465596.6</v>
      </c>
      <c r="G59" s="16">
        <f t="shared" si="21"/>
        <v>0</v>
      </c>
      <c r="H59" s="16">
        <f t="shared" si="21"/>
        <v>0</v>
      </c>
      <c r="I59" s="16">
        <f t="shared" si="21"/>
        <v>0</v>
      </c>
      <c r="J59" s="16">
        <f>SUM(J60:J62)</f>
        <v>1465596.6</v>
      </c>
      <c r="K59" s="16">
        <f>SUM(K60:K62)</f>
        <v>1465596.6</v>
      </c>
      <c r="L59" s="16">
        <f>SUM(L60:L62)</f>
        <v>0</v>
      </c>
      <c r="M59" s="16">
        <f t="shared" si="20"/>
        <v>1907631.01</v>
      </c>
    </row>
    <row r="60" spans="1:16" ht="33.75" customHeight="1">
      <c r="A60" s="39">
        <v>250403</v>
      </c>
      <c r="B60" s="6" t="s">
        <v>116</v>
      </c>
      <c r="C60" s="24">
        <f>48888.37+13690+14582.05+1314.3+31182.7+51970+59145.2+1170.46+13878.22+900+18000+13.31+288-4480</f>
        <v>250542.61</v>
      </c>
      <c r="D60" s="24"/>
      <c r="E60" s="24"/>
      <c r="F60" s="37">
        <f>G60+J60</f>
        <v>200639.59999999998</v>
      </c>
      <c r="G60" s="24"/>
      <c r="H60" s="24"/>
      <c r="I60" s="24"/>
      <c r="J60" s="24">
        <f>10900+4450+85000+112804.8-12515.2</f>
        <v>200639.59999999998</v>
      </c>
      <c r="K60" s="24">
        <f>10900+4450+85000+112804.8-12515.2</f>
        <v>200639.59999999998</v>
      </c>
      <c r="L60" s="24"/>
      <c r="M60" s="37">
        <f t="shared" si="20"/>
        <v>451182.20999999996</v>
      </c>
      <c r="P60" s="7">
        <f>O60-M60</f>
        <v>-451182.20999999996</v>
      </c>
    </row>
    <row r="61" spans="1:16" ht="15">
      <c r="A61" s="10">
        <v>250404</v>
      </c>
      <c r="B61" s="6" t="s">
        <v>30</v>
      </c>
      <c r="C61" s="11">
        <f>310637-59145.2-100000+40000</f>
        <v>191491.8</v>
      </c>
      <c r="D61" s="11"/>
      <c r="E61" s="11"/>
      <c r="F61" s="13">
        <f t="shared" si="9"/>
        <v>0</v>
      </c>
      <c r="G61" s="11"/>
      <c r="H61" s="11"/>
      <c r="I61" s="11"/>
      <c r="J61" s="13">
        <f>20000-20000</f>
        <v>0</v>
      </c>
      <c r="K61" s="13">
        <f>20000-20000</f>
        <v>0</v>
      </c>
      <c r="L61" s="11"/>
      <c r="M61" s="13">
        <f t="shared" si="20"/>
        <v>191491.8</v>
      </c>
      <c r="O61" s="7">
        <f>'[15]Лист1'!$M$98</f>
        <v>191491.8</v>
      </c>
      <c r="P61" s="7">
        <f>O61-M61</f>
        <v>0</v>
      </c>
    </row>
    <row r="62" spans="1:16" ht="45.75" customHeight="1">
      <c r="A62" s="49">
        <v>250344</v>
      </c>
      <c r="B62" s="50" t="s">
        <v>141</v>
      </c>
      <c r="C62" s="11"/>
      <c r="D62" s="11"/>
      <c r="E62" s="11"/>
      <c r="F62" s="13">
        <f t="shared" si="9"/>
        <v>1264957</v>
      </c>
      <c r="G62" s="11"/>
      <c r="H62" s="11"/>
      <c r="I62" s="11"/>
      <c r="J62" s="13">
        <f>480000+784957</f>
        <v>1264957</v>
      </c>
      <c r="K62" s="13">
        <f>480000+784957</f>
        <v>1264957</v>
      </c>
      <c r="L62" s="11"/>
      <c r="M62" s="13">
        <f t="shared" si="20"/>
        <v>1264957</v>
      </c>
      <c r="O62" s="7">
        <f>'[15]Лист1'!$M$99</f>
        <v>1264957</v>
      </c>
      <c r="P62" s="7">
        <f>O62-M62</f>
        <v>0</v>
      </c>
    </row>
    <row r="63" spans="1:18" ht="30">
      <c r="A63" s="18">
        <v>10</v>
      </c>
      <c r="B63" s="15" t="s">
        <v>31</v>
      </c>
      <c r="C63" s="16">
        <f>C64+C74+C72+C76</f>
        <v>47134281.22</v>
      </c>
      <c r="D63" s="16">
        <f aca="true" t="shared" si="22" ref="D63:L63">D64+D74+D72+D76</f>
        <v>29093723</v>
      </c>
      <c r="E63" s="16">
        <f t="shared" si="22"/>
        <v>4326369</v>
      </c>
      <c r="F63" s="16">
        <f t="shared" si="22"/>
        <v>4204217</v>
      </c>
      <c r="G63" s="16">
        <f t="shared" si="22"/>
        <v>2284437</v>
      </c>
      <c r="H63" s="16">
        <f t="shared" si="22"/>
        <v>488580</v>
      </c>
      <c r="I63" s="16">
        <f t="shared" si="22"/>
        <v>116397</v>
      </c>
      <c r="J63" s="16">
        <f t="shared" si="22"/>
        <v>1919780</v>
      </c>
      <c r="K63" s="16">
        <f t="shared" si="22"/>
        <v>1878800</v>
      </c>
      <c r="L63" s="16">
        <f t="shared" si="22"/>
        <v>0</v>
      </c>
      <c r="M63" s="16">
        <f t="shared" si="20"/>
        <v>51338498.22</v>
      </c>
      <c r="Q63" s="7"/>
      <c r="R63" s="7"/>
    </row>
    <row r="64" spans="1:13" ht="15">
      <c r="A64" s="17">
        <v>70000</v>
      </c>
      <c r="B64" s="15" t="s">
        <v>32</v>
      </c>
      <c r="C64" s="16">
        <f>SUM(C65:C71)</f>
        <v>45311914</v>
      </c>
      <c r="D64" s="16">
        <f aca="true" t="shared" si="23" ref="D64:L64">SUM(D65:D71)</f>
        <v>28420053</v>
      </c>
      <c r="E64" s="16">
        <f t="shared" si="23"/>
        <v>4230818</v>
      </c>
      <c r="F64" s="16">
        <f t="shared" si="23"/>
        <v>3785687</v>
      </c>
      <c r="G64" s="16">
        <f t="shared" si="23"/>
        <v>2284437</v>
      </c>
      <c r="H64" s="16">
        <f t="shared" si="23"/>
        <v>488580</v>
      </c>
      <c r="I64" s="16">
        <f t="shared" si="23"/>
        <v>116397</v>
      </c>
      <c r="J64" s="16">
        <f t="shared" si="23"/>
        <v>1501250</v>
      </c>
      <c r="K64" s="16">
        <f t="shared" si="23"/>
        <v>1460270</v>
      </c>
      <c r="L64" s="16">
        <f t="shared" si="23"/>
        <v>0</v>
      </c>
      <c r="M64" s="16">
        <f t="shared" si="20"/>
        <v>49097601</v>
      </c>
    </row>
    <row r="65" spans="1:16" ht="15">
      <c r="A65" s="10">
        <v>70101</v>
      </c>
      <c r="B65" s="6" t="s">
        <v>33</v>
      </c>
      <c r="C65" s="24">
        <f>14451378+1-627453+408000+71138.5-17594+123145</f>
        <v>14408615.5</v>
      </c>
      <c r="D65" s="24">
        <f>8259482+5135-252974+300000</f>
        <v>8311643</v>
      </c>
      <c r="E65" s="24">
        <f>1667795+1</f>
        <v>1667796</v>
      </c>
      <c r="F65" s="13">
        <f aca="true" t="shared" si="24" ref="F65:F73">G65+J65</f>
        <v>1505766</v>
      </c>
      <c r="G65" s="37">
        <f>1261018</f>
        <v>1261018</v>
      </c>
      <c r="H65" s="37">
        <f>57312</f>
        <v>57312</v>
      </c>
      <c r="I65" s="37"/>
      <c r="J65" s="24">
        <f>13720+32028+190000+9000</f>
        <v>244748</v>
      </c>
      <c r="K65" s="24">
        <f>32028+190000+9000</f>
        <v>231028</v>
      </c>
      <c r="L65" s="13"/>
      <c r="M65" s="13">
        <f t="shared" si="20"/>
        <v>15914381.5</v>
      </c>
      <c r="O65" s="7">
        <f>'[15]Лист1'!M14</f>
        <v>15914381.5</v>
      </c>
      <c r="P65" s="7">
        <f aca="true" t="shared" si="25" ref="P65:P75">O65-M65</f>
        <v>0</v>
      </c>
    </row>
    <row r="66" spans="1:16" ht="42.75" customHeight="1">
      <c r="A66" s="10">
        <v>70201</v>
      </c>
      <c r="B66" s="6" t="s">
        <v>34</v>
      </c>
      <c r="C66" s="24">
        <f>26908277+642019-1165264-642019+801600-50000-46793+427729+193897+46629</f>
        <v>27116075</v>
      </c>
      <c r="D66" s="24">
        <f>16948085-605121+588600+449985+193897</f>
        <v>17575446</v>
      </c>
      <c r="E66" s="24">
        <f>2033077+427729</f>
        <v>2460806</v>
      </c>
      <c r="F66" s="13">
        <f t="shared" si="24"/>
        <v>1614242</v>
      </c>
      <c r="G66" s="24">
        <f>361045</f>
        <v>361045</v>
      </c>
      <c r="H66" s="24">
        <f>50430</f>
        <v>50430</v>
      </c>
      <c r="I66" s="24">
        <f>106874</f>
        <v>106874</v>
      </c>
      <c r="J66" s="24">
        <f>23955+550500+220000-100000+800000-241258</f>
        <v>1253197</v>
      </c>
      <c r="K66" s="24">
        <f>550500+220000-100000+800000-241258</f>
        <v>1229242</v>
      </c>
      <c r="L66" s="13"/>
      <c r="M66" s="13">
        <f t="shared" si="20"/>
        <v>28730317</v>
      </c>
      <c r="O66" s="7">
        <f>'[15]Лист1'!M15</f>
        <v>28730317</v>
      </c>
      <c r="P66" s="7">
        <f t="shared" si="25"/>
        <v>0</v>
      </c>
    </row>
    <row r="67" spans="1:16" ht="28.5">
      <c r="A67" s="10">
        <v>70401</v>
      </c>
      <c r="B67" s="6" t="s">
        <v>35</v>
      </c>
      <c r="C67" s="24">
        <f>1458250-63634+30000-14738.5-2841-49172-7879</f>
        <v>1349985.5</v>
      </c>
      <c r="D67" s="24">
        <f>963649-46754+22000-49172</f>
        <v>889723</v>
      </c>
      <c r="E67" s="24">
        <f>1284</f>
        <v>1284</v>
      </c>
      <c r="F67" s="13">
        <f t="shared" si="24"/>
        <v>0</v>
      </c>
      <c r="G67" s="13"/>
      <c r="H67" s="13"/>
      <c r="I67" s="13"/>
      <c r="J67" s="13"/>
      <c r="K67" s="13"/>
      <c r="L67" s="13"/>
      <c r="M67" s="13">
        <f t="shared" si="20"/>
        <v>1349985.5</v>
      </c>
      <c r="O67" s="7">
        <f>'[15]Лист1'!M17</f>
        <v>1349985.5</v>
      </c>
      <c r="P67" s="7">
        <f t="shared" si="25"/>
        <v>0</v>
      </c>
    </row>
    <row r="68" spans="1:16" ht="28.5">
      <c r="A68" s="10">
        <v>70802</v>
      </c>
      <c r="B68" s="6" t="s">
        <v>36</v>
      </c>
      <c r="C68" s="24">
        <f>623177-32028+10000-930</f>
        <v>600219</v>
      </c>
      <c r="D68" s="24">
        <f>429729-23479+7300</f>
        <v>413550</v>
      </c>
      <c r="E68" s="24">
        <f>12860</f>
        <v>12860</v>
      </c>
      <c r="F68" s="13">
        <f t="shared" si="24"/>
        <v>0</v>
      </c>
      <c r="G68" s="13"/>
      <c r="H68" s="13"/>
      <c r="I68" s="13"/>
      <c r="J68" s="13"/>
      <c r="K68" s="13"/>
      <c r="L68" s="13"/>
      <c r="M68" s="13">
        <f t="shared" si="20"/>
        <v>600219</v>
      </c>
      <c r="O68" s="7">
        <f>'[15]Лист1'!M18</f>
        <v>600219</v>
      </c>
      <c r="P68" s="7">
        <f t="shared" si="25"/>
        <v>0</v>
      </c>
    </row>
    <row r="69" spans="1:16" ht="30" customHeight="1">
      <c r="A69" s="10">
        <v>70804</v>
      </c>
      <c r="B69" s="6" t="s">
        <v>37</v>
      </c>
      <c r="C69" s="24">
        <f>1028884-50840+47000-2334-65855-8978</f>
        <v>947877</v>
      </c>
      <c r="D69" s="24">
        <f>708879-37303+35000-65855</f>
        <v>640721</v>
      </c>
      <c r="E69" s="24">
        <f>18404</f>
        <v>18404</v>
      </c>
      <c r="F69" s="13">
        <f t="shared" si="24"/>
        <v>0</v>
      </c>
      <c r="G69" s="13"/>
      <c r="H69" s="13"/>
      <c r="I69" s="13"/>
      <c r="J69" s="13"/>
      <c r="K69" s="13"/>
      <c r="L69" s="13"/>
      <c r="M69" s="13">
        <f t="shared" si="20"/>
        <v>947877</v>
      </c>
      <c r="O69" s="7">
        <f>'[15]Лист1'!M19</f>
        <v>947877</v>
      </c>
      <c r="P69" s="7">
        <f t="shared" si="25"/>
        <v>0</v>
      </c>
    </row>
    <row r="70" spans="1:16" ht="15">
      <c r="A70" s="10">
        <v>70806</v>
      </c>
      <c r="B70" s="6" t="s">
        <v>38</v>
      </c>
      <c r="C70" s="24">
        <f>888941-46481+30000-1418</f>
        <v>871042</v>
      </c>
      <c r="D70" s="24">
        <f>601375-34405+22000</f>
        <v>588970</v>
      </c>
      <c r="E70" s="24">
        <f>69668</f>
        <v>69668</v>
      </c>
      <c r="F70" s="13">
        <f t="shared" si="24"/>
        <v>665679</v>
      </c>
      <c r="G70" s="24">
        <f>662374</f>
        <v>662374</v>
      </c>
      <c r="H70" s="24">
        <f>380838</f>
        <v>380838</v>
      </c>
      <c r="I70" s="24">
        <f>9523</f>
        <v>9523</v>
      </c>
      <c r="J70" s="24">
        <f>3305</f>
        <v>3305</v>
      </c>
      <c r="K70" s="13"/>
      <c r="L70" s="13"/>
      <c r="M70" s="13">
        <f t="shared" si="20"/>
        <v>1536721</v>
      </c>
      <c r="O70" s="7">
        <f>'[15]Лист1'!M20</f>
        <v>1536721</v>
      </c>
      <c r="P70" s="7">
        <f t="shared" si="25"/>
        <v>0</v>
      </c>
    </row>
    <row r="71" spans="1:16" ht="45" customHeight="1">
      <c r="A71" s="10">
        <v>70808</v>
      </c>
      <c r="B71" s="6" t="s">
        <v>39</v>
      </c>
      <c r="C71" s="24">
        <f>18100</f>
        <v>18100</v>
      </c>
      <c r="D71" s="24"/>
      <c r="E71" s="24"/>
      <c r="F71" s="13">
        <f t="shared" si="24"/>
        <v>0</v>
      </c>
      <c r="G71" s="13"/>
      <c r="H71" s="13"/>
      <c r="I71" s="13"/>
      <c r="J71" s="13"/>
      <c r="K71" s="13"/>
      <c r="L71" s="13"/>
      <c r="M71" s="13">
        <f t="shared" si="20"/>
        <v>18100</v>
      </c>
      <c r="O71" s="7">
        <f>'[15]Лист1'!M21</f>
        <v>18100</v>
      </c>
      <c r="P71" s="7">
        <f t="shared" si="25"/>
        <v>0</v>
      </c>
    </row>
    <row r="72" spans="1:13" ht="30">
      <c r="A72" s="17">
        <v>90000</v>
      </c>
      <c r="B72" s="15" t="s">
        <v>16</v>
      </c>
      <c r="C72" s="16">
        <f>C73</f>
        <v>143600</v>
      </c>
      <c r="D72" s="16">
        <f>D73</f>
        <v>0</v>
      </c>
      <c r="E72" s="16">
        <f>E73</f>
        <v>0</v>
      </c>
      <c r="F72" s="16">
        <f>G72+J72</f>
        <v>0</v>
      </c>
      <c r="G72" s="16">
        <f aca="true" t="shared" si="26" ref="G72:L72">G73</f>
        <v>0</v>
      </c>
      <c r="H72" s="16">
        <f t="shared" si="26"/>
        <v>0</v>
      </c>
      <c r="I72" s="16">
        <f t="shared" si="26"/>
        <v>0</v>
      </c>
      <c r="J72" s="16">
        <f t="shared" si="26"/>
        <v>0</v>
      </c>
      <c r="K72" s="16">
        <f t="shared" si="26"/>
        <v>0</v>
      </c>
      <c r="L72" s="16">
        <f t="shared" si="26"/>
        <v>0</v>
      </c>
      <c r="M72" s="16">
        <f t="shared" si="20"/>
        <v>143600</v>
      </c>
    </row>
    <row r="73" spans="1:16" ht="68.25" customHeight="1">
      <c r="A73" s="10">
        <v>91108</v>
      </c>
      <c r="B73" s="9" t="s">
        <v>65</v>
      </c>
      <c r="C73" s="13">
        <f>190000-10000-30000-6400</f>
        <v>143600</v>
      </c>
      <c r="D73" s="13"/>
      <c r="E73" s="13"/>
      <c r="F73" s="13">
        <f t="shared" si="24"/>
        <v>0</v>
      </c>
      <c r="G73" s="13"/>
      <c r="H73" s="13"/>
      <c r="I73" s="13"/>
      <c r="J73" s="13"/>
      <c r="K73" s="13"/>
      <c r="L73" s="13"/>
      <c r="M73" s="13">
        <f t="shared" si="20"/>
        <v>143600</v>
      </c>
      <c r="O73" s="7">
        <f>'[15]Лист1'!$M$52</f>
        <v>143600</v>
      </c>
      <c r="P73" s="7">
        <f t="shared" si="25"/>
        <v>0</v>
      </c>
    </row>
    <row r="74" spans="1:13" ht="15">
      <c r="A74" s="17">
        <v>130000</v>
      </c>
      <c r="B74" s="15" t="s">
        <v>23</v>
      </c>
      <c r="C74" s="16">
        <f>C75</f>
        <v>1205561</v>
      </c>
      <c r="D74" s="16">
        <f>D75</f>
        <v>673670</v>
      </c>
      <c r="E74" s="16">
        <f>E75</f>
        <v>95551</v>
      </c>
      <c r="F74" s="16">
        <f aca="true" t="shared" si="27" ref="F74:F121">G74+J74</f>
        <v>344394</v>
      </c>
      <c r="G74" s="16">
        <f aca="true" t="shared" si="28" ref="G74:L74">G75</f>
        <v>0</v>
      </c>
      <c r="H74" s="16">
        <f t="shared" si="28"/>
        <v>0</v>
      </c>
      <c r="I74" s="16">
        <f t="shared" si="28"/>
        <v>0</v>
      </c>
      <c r="J74" s="16">
        <f t="shared" si="28"/>
        <v>344394</v>
      </c>
      <c r="K74" s="16">
        <f t="shared" si="28"/>
        <v>344394</v>
      </c>
      <c r="L74" s="16">
        <f t="shared" si="28"/>
        <v>0</v>
      </c>
      <c r="M74" s="16">
        <f t="shared" si="20"/>
        <v>1549955</v>
      </c>
    </row>
    <row r="75" spans="1:16" ht="42.75">
      <c r="A75" s="10">
        <v>130107</v>
      </c>
      <c r="B75" s="6" t="s">
        <v>102</v>
      </c>
      <c r="C75" s="11">
        <f>1235734-28700+60000+50000-2831-78870-29772</f>
        <v>1205561</v>
      </c>
      <c r="D75" s="11">
        <f>736680-21140+37000-78870</f>
        <v>673670</v>
      </c>
      <c r="E75" s="11">
        <f>82602+12949</f>
        <v>95551</v>
      </c>
      <c r="F75" s="13">
        <f t="shared" si="27"/>
        <v>344394</v>
      </c>
      <c r="G75" s="13"/>
      <c r="H75" s="13"/>
      <c r="I75" s="13"/>
      <c r="J75" s="13">
        <f>4000+39240+34896-39240-34896+60000+238734+41660</f>
        <v>344394</v>
      </c>
      <c r="K75" s="13">
        <f>4000+39240+34896-39240-34896+60000+238734+41660</f>
        <v>344394</v>
      </c>
      <c r="L75" s="13"/>
      <c r="M75" s="13">
        <f t="shared" si="20"/>
        <v>1549955</v>
      </c>
      <c r="O75" s="7">
        <f>'[15]Лист1'!$M$75</f>
        <v>1549955</v>
      </c>
      <c r="P75" s="7">
        <f t="shared" si="25"/>
        <v>0</v>
      </c>
    </row>
    <row r="76" spans="1:16" ht="30">
      <c r="A76" s="17">
        <v>250000</v>
      </c>
      <c r="B76" s="15" t="s">
        <v>29</v>
      </c>
      <c r="C76" s="40">
        <f>C77</f>
        <v>473206.22</v>
      </c>
      <c r="D76" s="40">
        <f aca="true" t="shared" si="29" ref="D76:L76">D77</f>
        <v>0</v>
      </c>
      <c r="E76" s="40">
        <f t="shared" si="29"/>
        <v>0</v>
      </c>
      <c r="F76" s="40">
        <f t="shared" si="29"/>
        <v>74136</v>
      </c>
      <c r="G76" s="40">
        <f t="shared" si="29"/>
        <v>0</v>
      </c>
      <c r="H76" s="40">
        <f t="shared" si="29"/>
        <v>0</v>
      </c>
      <c r="I76" s="40">
        <f t="shared" si="29"/>
        <v>0</v>
      </c>
      <c r="J76" s="40">
        <f t="shared" si="29"/>
        <v>74136</v>
      </c>
      <c r="K76" s="40">
        <f t="shared" si="29"/>
        <v>74136</v>
      </c>
      <c r="L76" s="40">
        <f t="shared" si="29"/>
        <v>0</v>
      </c>
      <c r="M76" s="16">
        <f t="shared" si="20"/>
        <v>547342.22</v>
      </c>
      <c r="O76" s="7"/>
      <c r="P76" s="7"/>
    </row>
    <row r="77" spans="1:16" ht="42.75">
      <c r="A77" s="39">
        <v>250403</v>
      </c>
      <c r="B77" s="6" t="s">
        <v>116</v>
      </c>
      <c r="C77" s="11">
        <f>263958+209248.22</f>
        <v>473206.22</v>
      </c>
      <c r="D77" s="11"/>
      <c r="E77" s="11"/>
      <c r="F77" s="13">
        <f>G77+J77</f>
        <v>74136</v>
      </c>
      <c r="G77" s="13"/>
      <c r="H77" s="13"/>
      <c r="I77" s="13"/>
      <c r="J77" s="13">
        <f>39240+34896</f>
        <v>74136</v>
      </c>
      <c r="K77" s="13">
        <f>39240+34896</f>
        <v>74136</v>
      </c>
      <c r="L77" s="13"/>
      <c r="M77" s="13">
        <f t="shared" si="20"/>
        <v>547342.22</v>
      </c>
      <c r="O77" s="7"/>
      <c r="P77" s="7">
        <f>O77-M77</f>
        <v>-547342.22</v>
      </c>
    </row>
    <row r="78" spans="1:13" ht="45">
      <c r="A78" s="18">
        <v>15</v>
      </c>
      <c r="B78" s="15" t="s">
        <v>125</v>
      </c>
      <c r="C78" s="16">
        <f>C79+C81+C114+C118</f>
        <v>62985874.71</v>
      </c>
      <c r="D78" s="16">
        <f aca="true" t="shared" si="30" ref="D78:L78">D79+D81+D114+D118</f>
        <v>1621508</v>
      </c>
      <c r="E78" s="16">
        <f t="shared" si="30"/>
        <v>50230</v>
      </c>
      <c r="F78" s="16">
        <f t="shared" si="30"/>
        <v>74968</v>
      </c>
      <c r="G78" s="16">
        <f t="shared" si="30"/>
        <v>32000</v>
      </c>
      <c r="H78" s="16">
        <f t="shared" si="30"/>
        <v>9000</v>
      </c>
      <c r="I78" s="16">
        <f t="shared" si="30"/>
        <v>0</v>
      </c>
      <c r="J78" s="16">
        <f t="shared" si="30"/>
        <v>42968</v>
      </c>
      <c r="K78" s="16">
        <f t="shared" si="30"/>
        <v>42968</v>
      </c>
      <c r="L78" s="16">
        <f t="shared" si="30"/>
        <v>19000</v>
      </c>
      <c r="M78" s="16">
        <f>M79+M81+M114</f>
        <v>62996554.84</v>
      </c>
    </row>
    <row r="79" spans="1:13" ht="15">
      <c r="A79" s="17">
        <v>70000</v>
      </c>
      <c r="B79" s="15" t="s">
        <v>32</v>
      </c>
      <c r="C79" s="16">
        <f>C80</f>
        <v>396530</v>
      </c>
      <c r="D79" s="16"/>
      <c r="E79" s="16"/>
      <c r="F79" s="16">
        <f t="shared" si="27"/>
        <v>0</v>
      </c>
      <c r="G79" s="16"/>
      <c r="H79" s="16"/>
      <c r="I79" s="16"/>
      <c r="J79" s="16"/>
      <c r="K79" s="16"/>
      <c r="L79" s="16"/>
      <c r="M79" s="16">
        <f t="shared" si="20"/>
        <v>396530</v>
      </c>
    </row>
    <row r="80" spans="1:16" ht="28.5">
      <c r="A80" s="10">
        <v>70303</v>
      </c>
      <c r="B80" s="6" t="s">
        <v>69</v>
      </c>
      <c r="C80" s="24">
        <f>345131+72588-21189</f>
        <v>396530</v>
      </c>
      <c r="D80" s="13"/>
      <c r="E80" s="13"/>
      <c r="F80" s="13">
        <f>G80+J80</f>
        <v>0</v>
      </c>
      <c r="G80" s="13"/>
      <c r="H80" s="13"/>
      <c r="I80" s="13"/>
      <c r="J80" s="13"/>
      <c r="K80" s="13"/>
      <c r="L80" s="13"/>
      <c r="M80" s="13">
        <f t="shared" si="20"/>
        <v>396530</v>
      </c>
      <c r="O80" s="7">
        <f>'[15]Лист1'!$M$16</f>
        <v>396530</v>
      </c>
      <c r="P80" s="7">
        <f aca="true" t="shared" si="31" ref="P80:P117">O80-M80</f>
        <v>0</v>
      </c>
    </row>
    <row r="81" spans="1:13" ht="30">
      <c r="A81" s="17">
        <v>90000</v>
      </c>
      <c r="B81" s="15" t="s">
        <v>16</v>
      </c>
      <c r="C81" s="16">
        <f>SUM(C82:C113)</f>
        <v>60832813.64</v>
      </c>
      <c r="D81" s="16">
        <f>SUM(D82:D113)</f>
        <v>1621508</v>
      </c>
      <c r="E81" s="16">
        <f>SUM(E82:E113)</f>
        <v>50230</v>
      </c>
      <c r="F81" s="16">
        <f t="shared" si="27"/>
        <v>74968</v>
      </c>
      <c r="G81" s="16">
        <f aca="true" t="shared" si="32" ref="G81:L81">SUM(G82:G113)</f>
        <v>32000</v>
      </c>
      <c r="H81" s="16">
        <f t="shared" si="32"/>
        <v>9000</v>
      </c>
      <c r="I81" s="16">
        <f t="shared" si="32"/>
        <v>0</v>
      </c>
      <c r="J81" s="16">
        <f t="shared" si="32"/>
        <v>42968</v>
      </c>
      <c r="K81" s="16">
        <f t="shared" si="32"/>
        <v>42968</v>
      </c>
      <c r="L81" s="16">
        <f t="shared" si="32"/>
        <v>19000</v>
      </c>
      <c r="M81" s="16">
        <f t="shared" si="20"/>
        <v>60907781.64</v>
      </c>
    </row>
    <row r="82" spans="1:16" ht="92.25" customHeight="1">
      <c r="A82" s="10">
        <v>90201</v>
      </c>
      <c r="B82" s="6" t="s">
        <v>93</v>
      </c>
      <c r="C82" s="24">
        <f>4000000+965900-50000</f>
        <v>4915900</v>
      </c>
      <c r="D82" s="13"/>
      <c r="E82" s="13"/>
      <c r="F82" s="13">
        <f t="shared" si="27"/>
        <v>0</v>
      </c>
      <c r="G82" s="13"/>
      <c r="H82" s="13"/>
      <c r="I82" s="13"/>
      <c r="J82" s="13"/>
      <c r="K82" s="13"/>
      <c r="L82" s="13"/>
      <c r="M82" s="13">
        <f t="shared" si="20"/>
        <v>4915900</v>
      </c>
      <c r="O82" s="7">
        <f>'[15]Лист1'!M23</f>
        <v>4915900</v>
      </c>
      <c r="P82" s="7">
        <f t="shared" si="31"/>
        <v>0</v>
      </c>
    </row>
    <row r="83" spans="1:16" ht="59.25" customHeight="1">
      <c r="A83" s="10">
        <v>90202</v>
      </c>
      <c r="B83" s="6" t="s">
        <v>94</v>
      </c>
      <c r="C83" s="24">
        <f>3000</f>
        <v>3000</v>
      </c>
      <c r="D83" s="13"/>
      <c r="E83" s="13"/>
      <c r="F83" s="13">
        <f t="shared" si="27"/>
        <v>0</v>
      </c>
      <c r="G83" s="13"/>
      <c r="H83" s="13"/>
      <c r="I83" s="13"/>
      <c r="J83" s="13"/>
      <c r="K83" s="13"/>
      <c r="L83" s="13"/>
      <c r="M83" s="13">
        <f t="shared" si="20"/>
        <v>3000</v>
      </c>
      <c r="O83" s="7">
        <f>'[15]Лист1'!M24</f>
        <v>3000</v>
      </c>
      <c r="P83" s="7">
        <f t="shared" si="31"/>
        <v>0</v>
      </c>
    </row>
    <row r="84" spans="1:16" ht="63" customHeight="1">
      <c r="A84" s="10">
        <v>90203</v>
      </c>
      <c r="B84" s="6" t="s">
        <v>95</v>
      </c>
      <c r="C84" s="24">
        <f>89450</f>
        <v>89450</v>
      </c>
      <c r="D84" s="13"/>
      <c r="E84" s="13"/>
      <c r="F84" s="13">
        <f t="shared" si="27"/>
        <v>19000</v>
      </c>
      <c r="G84" s="13"/>
      <c r="H84" s="13"/>
      <c r="I84" s="13"/>
      <c r="J84" s="13">
        <f>50000-31000</f>
        <v>19000</v>
      </c>
      <c r="K84" s="13">
        <f>50000-31000</f>
        <v>19000</v>
      </c>
      <c r="L84" s="13">
        <f>50000-31000</f>
        <v>19000</v>
      </c>
      <c r="M84" s="13">
        <f t="shared" si="20"/>
        <v>108450</v>
      </c>
      <c r="O84" s="7">
        <f>'[15]Лист1'!M25</f>
        <v>108450</v>
      </c>
      <c r="P84" s="7">
        <f t="shared" si="31"/>
        <v>0</v>
      </c>
    </row>
    <row r="85" spans="1:16" ht="69" customHeight="1">
      <c r="A85" s="10">
        <v>90204</v>
      </c>
      <c r="B85" s="6" t="s">
        <v>96</v>
      </c>
      <c r="C85" s="24">
        <f>1617000+509000-100000</f>
        <v>2026000</v>
      </c>
      <c r="D85" s="13"/>
      <c r="E85" s="13"/>
      <c r="F85" s="13">
        <f t="shared" si="27"/>
        <v>0</v>
      </c>
      <c r="G85" s="13"/>
      <c r="H85" s="13"/>
      <c r="I85" s="13"/>
      <c r="J85" s="13"/>
      <c r="K85" s="13"/>
      <c r="L85" s="13"/>
      <c r="M85" s="13">
        <f t="shared" si="20"/>
        <v>2026000</v>
      </c>
      <c r="O85" s="7">
        <f>'[15]Лист1'!M26</f>
        <v>2026000</v>
      </c>
      <c r="P85" s="7">
        <f t="shared" si="31"/>
        <v>0</v>
      </c>
    </row>
    <row r="86" spans="1:16" ht="65.25" customHeight="1">
      <c r="A86" s="10">
        <v>90207</v>
      </c>
      <c r="B86" s="6" t="s">
        <v>70</v>
      </c>
      <c r="C86" s="24">
        <f>137000+158500-100000</f>
        <v>195500</v>
      </c>
      <c r="D86" s="13"/>
      <c r="E86" s="13"/>
      <c r="F86" s="13">
        <f t="shared" si="27"/>
        <v>0</v>
      </c>
      <c r="G86" s="13"/>
      <c r="H86" s="13"/>
      <c r="I86" s="13"/>
      <c r="J86" s="13"/>
      <c r="K86" s="13"/>
      <c r="L86" s="13"/>
      <c r="M86" s="13">
        <f t="shared" si="20"/>
        <v>195500</v>
      </c>
      <c r="O86" s="7">
        <f>'[15]Лист1'!M27</f>
        <v>195500</v>
      </c>
      <c r="P86" s="7">
        <f t="shared" si="31"/>
        <v>0</v>
      </c>
    </row>
    <row r="87" spans="1:16" ht="60" customHeight="1">
      <c r="A87" s="10">
        <v>90209</v>
      </c>
      <c r="B87" s="6" t="s">
        <v>71</v>
      </c>
      <c r="C87" s="24">
        <f>500</f>
        <v>500</v>
      </c>
      <c r="D87" s="13"/>
      <c r="E87" s="13"/>
      <c r="F87" s="13">
        <f t="shared" si="27"/>
        <v>0</v>
      </c>
      <c r="G87" s="13"/>
      <c r="H87" s="13"/>
      <c r="I87" s="13"/>
      <c r="J87" s="13"/>
      <c r="K87" s="13"/>
      <c r="L87" s="13"/>
      <c r="M87" s="13">
        <f t="shared" si="20"/>
        <v>500</v>
      </c>
      <c r="O87" s="7">
        <f>'[15]Лист1'!M28</f>
        <v>500</v>
      </c>
      <c r="P87" s="7">
        <f t="shared" si="31"/>
        <v>0</v>
      </c>
    </row>
    <row r="88" spans="1:16" ht="57">
      <c r="A88" s="10">
        <v>90212</v>
      </c>
      <c r="B88" s="6" t="s">
        <v>72</v>
      </c>
      <c r="C88" s="24">
        <f>13094</f>
        <v>13094</v>
      </c>
      <c r="D88" s="13"/>
      <c r="E88" s="13"/>
      <c r="F88" s="13">
        <f t="shared" si="27"/>
        <v>0</v>
      </c>
      <c r="G88" s="13"/>
      <c r="H88" s="13"/>
      <c r="I88" s="13"/>
      <c r="J88" s="13"/>
      <c r="K88" s="13"/>
      <c r="L88" s="13"/>
      <c r="M88" s="13">
        <f t="shared" si="20"/>
        <v>13094</v>
      </c>
      <c r="O88" s="7">
        <f>'[15]Лист1'!M29</f>
        <v>13094</v>
      </c>
      <c r="P88" s="7">
        <f t="shared" si="31"/>
        <v>0</v>
      </c>
    </row>
    <row r="89" spans="1:16" ht="28.5">
      <c r="A89" s="10">
        <v>90214</v>
      </c>
      <c r="B89" s="6" t="s">
        <v>86</v>
      </c>
      <c r="C89" s="24">
        <f>410000</f>
        <v>410000</v>
      </c>
      <c r="D89" s="13"/>
      <c r="E89" s="13"/>
      <c r="F89" s="13">
        <f t="shared" si="27"/>
        <v>0</v>
      </c>
      <c r="G89" s="13"/>
      <c r="H89" s="13"/>
      <c r="I89" s="13"/>
      <c r="J89" s="13"/>
      <c r="K89" s="13"/>
      <c r="L89" s="13"/>
      <c r="M89" s="13">
        <f aca="true" t="shared" si="33" ref="M89:M125">C89+F89</f>
        <v>410000</v>
      </c>
      <c r="N89" s="2"/>
      <c r="O89" s="7">
        <f>'[15]Лист1'!M30</f>
        <v>410000</v>
      </c>
      <c r="P89" s="7">
        <f t="shared" si="31"/>
        <v>0</v>
      </c>
    </row>
    <row r="90" spans="1:16" ht="28.5">
      <c r="A90" s="10">
        <v>90215</v>
      </c>
      <c r="B90" s="6" t="s">
        <v>73</v>
      </c>
      <c r="C90" s="24">
        <f>395600+240000-50000</f>
        <v>585600</v>
      </c>
      <c r="D90" s="13"/>
      <c r="E90" s="13"/>
      <c r="F90" s="13">
        <f t="shared" si="27"/>
        <v>0</v>
      </c>
      <c r="G90" s="13"/>
      <c r="H90" s="13"/>
      <c r="I90" s="13"/>
      <c r="J90" s="13"/>
      <c r="K90" s="13"/>
      <c r="L90" s="13"/>
      <c r="M90" s="13">
        <f t="shared" si="33"/>
        <v>585600</v>
      </c>
      <c r="O90" s="7">
        <f>'[15]Лист1'!M31</f>
        <v>585600</v>
      </c>
      <c r="P90" s="7">
        <f t="shared" si="31"/>
        <v>0</v>
      </c>
    </row>
    <row r="91" spans="1:16" ht="42.75">
      <c r="A91" s="10">
        <v>90216</v>
      </c>
      <c r="B91" s="6" t="s">
        <v>97</v>
      </c>
      <c r="C91" s="24">
        <f>700+517.69</f>
        <v>1217.69</v>
      </c>
      <c r="D91" s="13"/>
      <c r="E91" s="13"/>
      <c r="F91" s="13">
        <f t="shared" si="27"/>
        <v>0</v>
      </c>
      <c r="G91" s="13"/>
      <c r="H91" s="13"/>
      <c r="I91" s="13"/>
      <c r="J91" s="13"/>
      <c r="K91" s="13"/>
      <c r="L91" s="13"/>
      <c r="M91" s="13">
        <f t="shared" si="33"/>
        <v>1217.69</v>
      </c>
      <c r="O91" s="7">
        <f>'[15]Лист1'!M32</f>
        <v>1217.69</v>
      </c>
      <c r="P91" s="7">
        <f t="shared" si="31"/>
        <v>0</v>
      </c>
    </row>
    <row r="92" spans="1:16" ht="28.5">
      <c r="A92" s="10">
        <v>90302</v>
      </c>
      <c r="B92" s="6" t="s">
        <v>74</v>
      </c>
      <c r="C92" s="24">
        <f>510000-60000-36000</f>
        <v>414000</v>
      </c>
      <c r="D92" s="13"/>
      <c r="E92" s="13"/>
      <c r="F92" s="13">
        <f t="shared" si="27"/>
        <v>0</v>
      </c>
      <c r="G92" s="13"/>
      <c r="H92" s="13"/>
      <c r="I92" s="13"/>
      <c r="J92" s="13"/>
      <c r="K92" s="13"/>
      <c r="L92" s="13"/>
      <c r="M92" s="13">
        <f t="shared" si="33"/>
        <v>414000</v>
      </c>
      <c r="O92" s="7">
        <f>'[15]Лист1'!M33</f>
        <v>414000</v>
      </c>
      <c r="P92" s="7">
        <f t="shared" si="31"/>
        <v>0</v>
      </c>
    </row>
    <row r="93" spans="1:16" ht="28.5">
      <c r="A93" s="10">
        <v>90303</v>
      </c>
      <c r="B93" s="6" t="s">
        <v>75</v>
      </c>
      <c r="C93" s="24">
        <f>5515000-300000-1530000-932003</f>
        <v>2752997</v>
      </c>
      <c r="D93" s="13"/>
      <c r="E93" s="13"/>
      <c r="F93" s="13">
        <f t="shared" si="27"/>
        <v>0</v>
      </c>
      <c r="G93" s="13"/>
      <c r="H93" s="13"/>
      <c r="I93" s="13"/>
      <c r="J93" s="13"/>
      <c r="K93" s="13"/>
      <c r="L93" s="13"/>
      <c r="M93" s="13">
        <f t="shared" si="33"/>
        <v>2752997</v>
      </c>
      <c r="O93" s="7">
        <f>'[15]Лист1'!M34</f>
        <v>2752997</v>
      </c>
      <c r="P93" s="7">
        <f t="shared" si="31"/>
        <v>0</v>
      </c>
    </row>
    <row r="94" spans="1:16" ht="15">
      <c r="A94" s="10">
        <v>90304</v>
      </c>
      <c r="B94" s="6" t="s">
        <v>98</v>
      </c>
      <c r="C94" s="24">
        <f>21400000-3240000+1200000-70818</f>
        <v>19289182</v>
      </c>
      <c r="D94" s="13"/>
      <c r="E94" s="13"/>
      <c r="F94" s="13">
        <f t="shared" si="27"/>
        <v>0</v>
      </c>
      <c r="G94" s="13"/>
      <c r="H94" s="13"/>
      <c r="I94" s="13"/>
      <c r="J94" s="13"/>
      <c r="K94" s="13"/>
      <c r="L94" s="13"/>
      <c r="M94" s="13">
        <f t="shared" si="33"/>
        <v>19289182</v>
      </c>
      <c r="O94" s="7">
        <f>'[15]Лист1'!M35</f>
        <v>19289182</v>
      </c>
      <c r="P94" s="7">
        <f t="shared" si="31"/>
        <v>0</v>
      </c>
    </row>
    <row r="95" spans="1:16" ht="28.5">
      <c r="A95" s="10">
        <v>90305</v>
      </c>
      <c r="B95" s="6" t="s">
        <v>76</v>
      </c>
      <c r="C95" s="24">
        <f>1876000-60000-120000-170165</f>
        <v>1525835</v>
      </c>
      <c r="D95" s="13"/>
      <c r="E95" s="13"/>
      <c r="F95" s="13">
        <f t="shared" si="27"/>
        <v>0</v>
      </c>
      <c r="G95" s="13"/>
      <c r="H95" s="13"/>
      <c r="I95" s="13"/>
      <c r="J95" s="13"/>
      <c r="K95" s="13"/>
      <c r="L95" s="13"/>
      <c r="M95" s="13">
        <f t="shared" si="33"/>
        <v>1525835</v>
      </c>
      <c r="O95" s="7">
        <f>'[15]Лист1'!M36</f>
        <v>1525835</v>
      </c>
      <c r="P95" s="7">
        <f t="shared" si="31"/>
        <v>0</v>
      </c>
    </row>
    <row r="96" spans="1:16" ht="28.5">
      <c r="A96" s="10">
        <v>90306</v>
      </c>
      <c r="B96" s="6" t="s">
        <v>77</v>
      </c>
      <c r="C96" s="24">
        <f>3160000-180000-80000</f>
        <v>2900000</v>
      </c>
      <c r="D96" s="13"/>
      <c r="E96" s="13"/>
      <c r="F96" s="13">
        <f t="shared" si="27"/>
        <v>0</v>
      </c>
      <c r="G96" s="13"/>
      <c r="H96" s="13"/>
      <c r="I96" s="13"/>
      <c r="J96" s="13"/>
      <c r="K96" s="13"/>
      <c r="L96" s="13"/>
      <c r="M96" s="13">
        <f t="shared" si="33"/>
        <v>2900000</v>
      </c>
      <c r="O96" s="7">
        <f>'[15]Лист1'!M37</f>
        <v>2900000</v>
      </c>
      <c r="P96" s="7">
        <f t="shared" si="31"/>
        <v>0</v>
      </c>
    </row>
    <row r="97" spans="1:16" ht="19.5" customHeight="1">
      <c r="A97" s="10">
        <v>90307</v>
      </c>
      <c r="B97" s="6" t="s">
        <v>78</v>
      </c>
      <c r="C97" s="24">
        <f>711000-67514-86906</f>
        <v>556580</v>
      </c>
      <c r="D97" s="13"/>
      <c r="E97" s="13"/>
      <c r="F97" s="13">
        <f t="shared" si="27"/>
        <v>0</v>
      </c>
      <c r="G97" s="13"/>
      <c r="H97" s="13"/>
      <c r="I97" s="13"/>
      <c r="J97" s="13"/>
      <c r="K97" s="13"/>
      <c r="L97" s="13"/>
      <c r="M97" s="13">
        <f t="shared" si="33"/>
        <v>556580</v>
      </c>
      <c r="O97" s="7">
        <f>'[15]Лист1'!M38</f>
        <v>556580</v>
      </c>
      <c r="P97" s="7">
        <f t="shared" si="31"/>
        <v>0</v>
      </c>
    </row>
    <row r="98" spans="1:16" ht="15">
      <c r="A98" s="10">
        <v>90308</v>
      </c>
      <c r="B98" s="6" t="s">
        <v>103</v>
      </c>
      <c r="C98" s="24">
        <f>9720</f>
        <v>9720</v>
      </c>
      <c r="D98" s="13"/>
      <c r="E98" s="13"/>
      <c r="F98" s="13">
        <f t="shared" si="27"/>
        <v>0</v>
      </c>
      <c r="G98" s="13"/>
      <c r="H98" s="13"/>
      <c r="I98" s="13"/>
      <c r="J98" s="13"/>
      <c r="K98" s="13"/>
      <c r="L98" s="13"/>
      <c r="M98" s="13">
        <f t="shared" si="33"/>
        <v>9720</v>
      </c>
      <c r="O98" s="7">
        <f>'[15]Лист1'!M39</f>
        <v>9720</v>
      </c>
      <c r="P98" s="7">
        <f t="shared" si="31"/>
        <v>0</v>
      </c>
    </row>
    <row r="99" spans="1:16" ht="28.5">
      <c r="A99" s="10">
        <v>90401</v>
      </c>
      <c r="B99" s="6" t="s">
        <v>79</v>
      </c>
      <c r="C99" s="24">
        <f>4159313+450000</f>
        <v>4609313</v>
      </c>
      <c r="D99" s="13"/>
      <c r="E99" s="13"/>
      <c r="F99" s="13">
        <f t="shared" si="27"/>
        <v>0</v>
      </c>
      <c r="G99" s="13"/>
      <c r="H99" s="13"/>
      <c r="I99" s="13"/>
      <c r="J99" s="13"/>
      <c r="K99" s="13"/>
      <c r="L99" s="13"/>
      <c r="M99" s="13">
        <f t="shared" si="33"/>
        <v>4609313</v>
      </c>
      <c r="O99" s="7">
        <f>'[15]Лист1'!M40</f>
        <v>4609313</v>
      </c>
      <c r="P99" s="7">
        <f t="shared" si="31"/>
        <v>0</v>
      </c>
    </row>
    <row r="100" spans="1:16" ht="42.75">
      <c r="A100" s="10">
        <v>90405</v>
      </c>
      <c r="B100" s="6" t="s">
        <v>80</v>
      </c>
      <c r="C100" s="24">
        <f>8500000+1880000-300000</f>
        <v>10080000</v>
      </c>
      <c r="D100" s="13"/>
      <c r="E100" s="13"/>
      <c r="F100" s="13">
        <f t="shared" si="27"/>
        <v>0</v>
      </c>
      <c r="G100" s="13"/>
      <c r="H100" s="13"/>
      <c r="I100" s="13"/>
      <c r="J100" s="13"/>
      <c r="K100" s="13"/>
      <c r="L100" s="13"/>
      <c r="M100" s="13">
        <f t="shared" si="33"/>
        <v>10080000</v>
      </c>
      <c r="O100" s="7">
        <f>'[15]Лист1'!M41</f>
        <v>10080000</v>
      </c>
      <c r="P100" s="7">
        <f t="shared" si="31"/>
        <v>0</v>
      </c>
    </row>
    <row r="101" spans="1:16" ht="54.75" customHeight="1">
      <c r="A101" s="10">
        <v>90406</v>
      </c>
      <c r="B101" s="6" t="s">
        <v>81</v>
      </c>
      <c r="C101" s="24">
        <f>15500-517.69</f>
        <v>14982.31</v>
      </c>
      <c r="D101" s="13"/>
      <c r="E101" s="13"/>
      <c r="F101" s="13">
        <f t="shared" si="27"/>
        <v>0</v>
      </c>
      <c r="G101" s="13"/>
      <c r="H101" s="13"/>
      <c r="I101" s="13"/>
      <c r="J101" s="13"/>
      <c r="K101" s="13"/>
      <c r="L101" s="13"/>
      <c r="M101" s="13">
        <f t="shared" si="33"/>
        <v>14982.31</v>
      </c>
      <c r="O101" s="7">
        <f>'[15]Лист1'!M42</f>
        <v>14982.31</v>
      </c>
      <c r="P101" s="7">
        <f t="shared" si="31"/>
        <v>0</v>
      </c>
    </row>
    <row r="102" spans="1:16" ht="55.5" customHeight="1">
      <c r="A102" s="35">
        <v>90407</v>
      </c>
      <c r="B102" s="51" t="s">
        <v>149</v>
      </c>
      <c r="C102" s="24">
        <f>0+600000</f>
        <v>600000</v>
      </c>
      <c r="D102" s="13"/>
      <c r="E102" s="13"/>
      <c r="F102" s="13">
        <f t="shared" si="27"/>
        <v>0</v>
      </c>
      <c r="G102" s="13"/>
      <c r="H102" s="13"/>
      <c r="I102" s="13"/>
      <c r="J102" s="13"/>
      <c r="K102" s="13"/>
      <c r="L102" s="13"/>
      <c r="M102" s="13">
        <f t="shared" si="33"/>
        <v>600000</v>
      </c>
      <c r="O102" s="7">
        <f>'[15]Лист1'!M43</f>
        <v>600000</v>
      </c>
      <c r="P102" s="7">
        <f>O102-M102</f>
        <v>0</v>
      </c>
    </row>
    <row r="103" spans="1:16" ht="28.5">
      <c r="A103" s="10">
        <v>90412</v>
      </c>
      <c r="B103" s="6" t="s">
        <v>40</v>
      </c>
      <c r="C103" s="24">
        <f>239700-14586.28+38000</f>
        <v>263113.72</v>
      </c>
      <c r="D103" s="13"/>
      <c r="E103" s="13"/>
      <c r="F103" s="13">
        <f t="shared" si="27"/>
        <v>0</v>
      </c>
      <c r="G103" s="13"/>
      <c r="H103" s="13"/>
      <c r="I103" s="13"/>
      <c r="J103" s="24">
        <f>140000-140000</f>
        <v>0</v>
      </c>
      <c r="K103" s="24">
        <f>140000-140000</f>
        <v>0</v>
      </c>
      <c r="L103" s="13"/>
      <c r="M103" s="13">
        <f t="shared" si="33"/>
        <v>263113.72</v>
      </c>
      <c r="O103" s="7">
        <f>'[15]Лист1'!M44</f>
        <v>263113.72</v>
      </c>
      <c r="P103" s="7">
        <f>O103-M103</f>
        <v>0</v>
      </c>
    </row>
    <row r="104" spans="1:16" ht="27" customHeight="1">
      <c r="A104" s="10">
        <v>90413</v>
      </c>
      <c r="B104" s="6" t="s">
        <v>82</v>
      </c>
      <c r="C104" s="24">
        <f>1482994-28125-54700</f>
        <v>1400169</v>
      </c>
      <c r="D104" s="13"/>
      <c r="E104" s="13"/>
      <c r="F104" s="13">
        <f t="shared" si="27"/>
        <v>0</v>
      </c>
      <c r="G104" s="13"/>
      <c r="H104" s="13"/>
      <c r="I104" s="13"/>
      <c r="J104" s="13"/>
      <c r="K104" s="13"/>
      <c r="L104" s="13"/>
      <c r="M104" s="13">
        <f t="shared" si="33"/>
        <v>1400169</v>
      </c>
      <c r="O104" s="7">
        <f>'[15]Лист1'!M45</f>
        <v>1400169</v>
      </c>
      <c r="P104" s="7">
        <f>O104-M104</f>
        <v>0</v>
      </c>
    </row>
    <row r="105" spans="1:16" ht="48.75" customHeight="1">
      <c r="A105" s="10">
        <v>90414</v>
      </c>
      <c r="B105" s="6" t="s">
        <v>104</v>
      </c>
      <c r="C105" s="24">
        <f>3000</f>
        <v>3000</v>
      </c>
      <c r="D105" s="13"/>
      <c r="E105" s="13"/>
      <c r="F105" s="13">
        <f>G105+J105</f>
        <v>0</v>
      </c>
      <c r="G105" s="13"/>
      <c r="H105" s="13"/>
      <c r="I105" s="13"/>
      <c r="J105" s="13"/>
      <c r="K105" s="13"/>
      <c r="L105" s="13"/>
      <c r="M105" s="13">
        <f>C105+F105</f>
        <v>3000</v>
      </c>
      <c r="O105" s="7">
        <f>'[15]Лист1'!M46</f>
        <v>3000</v>
      </c>
      <c r="P105" s="7">
        <f>O105-M105</f>
        <v>0</v>
      </c>
    </row>
    <row r="106" spans="1:16" ht="28.5">
      <c r="A106" s="10">
        <v>90417</v>
      </c>
      <c r="B106" s="6" t="s">
        <v>99</v>
      </c>
      <c r="C106" s="24">
        <f>42517</f>
        <v>42517</v>
      </c>
      <c r="D106" s="13"/>
      <c r="E106" s="13"/>
      <c r="F106" s="13">
        <f t="shared" si="27"/>
        <v>0</v>
      </c>
      <c r="G106" s="13"/>
      <c r="H106" s="13"/>
      <c r="I106" s="13"/>
      <c r="J106" s="13"/>
      <c r="K106" s="13"/>
      <c r="L106" s="13"/>
      <c r="M106" s="13">
        <f t="shared" si="33"/>
        <v>42517</v>
      </c>
      <c r="O106" s="7">
        <f>'[15]Лист1'!M47</f>
        <v>42517</v>
      </c>
      <c r="P106" s="7">
        <f>O106-M106</f>
        <v>0</v>
      </c>
    </row>
    <row r="107" spans="1:16" ht="28.5">
      <c r="A107" s="10">
        <v>91103</v>
      </c>
      <c r="B107" s="6" t="s">
        <v>18</v>
      </c>
      <c r="C107" s="24">
        <f>55406-10406-30000</f>
        <v>15000</v>
      </c>
      <c r="D107" s="13"/>
      <c r="E107" s="13"/>
      <c r="F107" s="13"/>
      <c r="G107" s="13"/>
      <c r="H107" s="13"/>
      <c r="I107" s="13"/>
      <c r="J107" s="13"/>
      <c r="K107" s="13"/>
      <c r="L107" s="13"/>
      <c r="M107" s="13">
        <f t="shared" si="33"/>
        <v>15000</v>
      </c>
      <c r="O107" s="7">
        <f>'[15]Лист1'!$M$50-M20</f>
        <v>15000</v>
      </c>
      <c r="P107" s="7">
        <f t="shared" si="31"/>
        <v>0</v>
      </c>
    </row>
    <row r="108" spans="1:16" ht="42.75">
      <c r="A108" s="10">
        <v>91204</v>
      </c>
      <c r="B108" s="6" t="s">
        <v>100</v>
      </c>
      <c r="C108" s="11">
        <f>1863635-119185-3896</f>
        <v>1740554</v>
      </c>
      <c r="D108" s="11">
        <f>1279700-50760</f>
        <v>1228940</v>
      </c>
      <c r="E108" s="11">
        <f>20281</f>
        <v>20281</v>
      </c>
      <c r="F108" s="13">
        <f t="shared" si="27"/>
        <v>55968</v>
      </c>
      <c r="G108" s="13">
        <f>32000</f>
        <v>32000</v>
      </c>
      <c r="H108" s="13">
        <f>9000</f>
        <v>9000</v>
      </c>
      <c r="I108" s="13"/>
      <c r="J108" s="13">
        <f>258070+32400-23000-243502</f>
        <v>23968</v>
      </c>
      <c r="K108" s="13">
        <f>258070+32400-23000-243502</f>
        <v>23968</v>
      </c>
      <c r="L108" s="13"/>
      <c r="M108" s="13">
        <f t="shared" si="33"/>
        <v>1796522</v>
      </c>
      <c r="O108" s="7">
        <f>'[15]Лист1'!M53</f>
        <v>1796522</v>
      </c>
      <c r="P108" s="7">
        <f t="shared" si="31"/>
        <v>0</v>
      </c>
    </row>
    <row r="109" spans="1:16" ht="56.25" customHeight="1">
      <c r="A109" s="10">
        <v>91205</v>
      </c>
      <c r="B109" s="6" t="s">
        <v>106</v>
      </c>
      <c r="C109" s="11">
        <f>53756-5232.08</f>
        <v>48523.92</v>
      </c>
      <c r="D109" s="11"/>
      <c r="E109" s="11"/>
      <c r="F109" s="19">
        <f t="shared" si="27"/>
        <v>0</v>
      </c>
      <c r="G109" s="11"/>
      <c r="H109" s="11"/>
      <c r="I109" s="11"/>
      <c r="J109" s="11"/>
      <c r="K109" s="19"/>
      <c r="L109" s="19"/>
      <c r="M109" s="11">
        <f t="shared" si="33"/>
        <v>48523.92</v>
      </c>
      <c r="O109" s="7">
        <f>'[15]Лист1'!M54</f>
        <v>48523.92</v>
      </c>
      <c r="P109" s="7">
        <f t="shared" si="31"/>
        <v>0</v>
      </c>
    </row>
    <row r="110" spans="1:16" ht="28.5">
      <c r="A110" s="10">
        <v>91206</v>
      </c>
      <c r="B110" s="6" t="s">
        <v>101</v>
      </c>
      <c r="C110" s="11">
        <f>647295-1200-1496</f>
        <v>644599</v>
      </c>
      <c r="D110" s="11">
        <f>392568</f>
        <v>392568</v>
      </c>
      <c r="E110" s="11">
        <f>29949</f>
        <v>29949</v>
      </c>
      <c r="F110" s="13">
        <f t="shared" si="27"/>
        <v>0</v>
      </c>
      <c r="G110" s="13"/>
      <c r="H110" s="13"/>
      <c r="I110" s="13"/>
      <c r="J110" s="13"/>
      <c r="K110" s="13"/>
      <c r="L110" s="13"/>
      <c r="M110" s="13">
        <f t="shared" si="33"/>
        <v>644599</v>
      </c>
      <c r="O110" s="7">
        <f>'[15]Лист1'!M55</f>
        <v>644599</v>
      </c>
      <c r="P110" s="7">
        <f t="shared" si="31"/>
        <v>0</v>
      </c>
    </row>
    <row r="111" spans="1:16" ht="42.75">
      <c r="A111" s="10">
        <v>91300</v>
      </c>
      <c r="B111" s="6" t="s">
        <v>83</v>
      </c>
      <c r="C111" s="11">
        <f>5717407-60000</f>
        <v>5657407</v>
      </c>
      <c r="D111" s="24"/>
      <c r="E111" s="13"/>
      <c r="F111" s="13">
        <f t="shared" si="27"/>
        <v>0</v>
      </c>
      <c r="G111" s="13"/>
      <c r="H111" s="13"/>
      <c r="I111" s="13"/>
      <c r="J111" s="13"/>
      <c r="K111" s="13"/>
      <c r="L111" s="13"/>
      <c r="M111" s="13">
        <f t="shared" si="33"/>
        <v>5657407</v>
      </c>
      <c r="O111" s="7">
        <f>'[15]Лист1'!M56</f>
        <v>5657407</v>
      </c>
      <c r="P111" s="7">
        <f t="shared" si="31"/>
        <v>0</v>
      </c>
    </row>
    <row r="112" spans="1:16" ht="42.75" customHeight="1">
      <c r="A112" s="10">
        <v>91303</v>
      </c>
      <c r="B112" s="6" t="s">
        <v>84</v>
      </c>
      <c r="C112" s="24">
        <f>21447</f>
        <v>21447</v>
      </c>
      <c r="D112" s="24"/>
      <c r="E112" s="13"/>
      <c r="F112" s="13">
        <f t="shared" si="27"/>
        <v>0</v>
      </c>
      <c r="G112" s="13"/>
      <c r="H112" s="13"/>
      <c r="I112" s="13"/>
      <c r="J112" s="13"/>
      <c r="K112" s="13"/>
      <c r="L112" s="13"/>
      <c r="M112" s="13">
        <f t="shared" si="33"/>
        <v>21447</v>
      </c>
      <c r="O112" s="7">
        <f>'[15]Лист1'!M57</f>
        <v>21447</v>
      </c>
      <c r="P112" s="7">
        <f t="shared" si="31"/>
        <v>0</v>
      </c>
    </row>
    <row r="113" spans="1:16" ht="28.5">
      <c r="A113" s="10">
        <v>91304</v>
      </c>
      <c r="B113" s="6" t="s">
        <v>85</v>
      </c>
      <c r="C113" s="24">
        <f>3612</f>
        <v>3612</v>
      </c>
      <c r="D113" s="24"/>
      <c r="E113" s="13"/>
      <c r="F113" s="13">
        <f t="shared" si="27"/>
        <v>0</v>
      </c>
      <c r="G113" s="13"/>
      <c r="H113" s="13"/>
      <c r="I113" s="13"/>
      <c r="J113" s="13"/>
      <c r="K113" s="13"/>
      <c r="L113" s="13"/>
      <c r="M113" s="13">
        <f t="shared" si="33"/>
        <v>3612</v>
      </c>
      <c r="O113" s="7">
        <f>'[15]Лист1'!M58</f>
        <v>3612</v>
      </c>
      <c r="P113" s="7">
        <f t="shared" si="31"/>
        <v>0</v>
      </c>
    </row>
    <row r="114" spans="1:13" ht="45">
      <c r="A114" s="17">
        <v>170000</v>
      </c>
      <c r="B114" s="15" t="s">
        <v>25</v>
      </c>
      <c r="C114" s="16">
        <f>SUM(C115:C117)</f>
        <v>1692243.2</v>
      </c>
      <c r="D114" s="16">
        <f>SUM(D115:D117)</f>
        <v>0</v>
      </c>
      <c r="E114" s="16">
        <f>SUM(E115:E117)</f>
        <v>0</v>
      </c>
      <c r="F114" s="16">
        <f t="shared" si="27"/>
        <v>0</v>
      </c>
      <c r="G114" s="16">
        <f aca="true" t="shared" si="34" ref="G114:L114">SUM(G115:G117)</f>
        <v>0</v>
      </c>
      <c r="H114" s="16">
        <f t="shared" si="34"/>
        <v>0</v>
      </c>
      <c r="I114" s="16">
        <f t="shared" si="34"/>
        <v>0</v>
      </c>
      <c r="J114" s="16">
        <f t="shared" si="34"/>
        <v>0</v>
      </c>
      <c r="K114" s="16">
        <f t="shared" si="34"/>
        <v>0</v>
      </c>
      <c r="L114" s="16">
        <f t="shared" si="34"/>
        <v>0</v>
      </c>
      <c r="M114" s="16">
        <f t="shared" si="33"/>
        <v>1692243.2</v>
      </c>
    </row>
    <row r="115" spans="1:16" ht="42.75">
      <c r="A115" s="10">
        <v>170102</v>
      </c>
      <c r="B115" s="6" t="s">
        <v>87</v>
      </c>
      <c r="C115" s="24">
        <f>1522812+9977.2+31000</f>
        <v>1563789.2</v>
      </c>
      <c r="D115" s="13"/>
      <c r="E115" s="13"/>
      <c r="F115" s="13">
        <f t="shared" si="27"/>
        <v>0</v>
      </c>
      <c r="G115" s="13"/>
      <c r="H115" s="13"/>
      <c r="I115" s="13"/>
      <c r="J115" s="13"/>
      <c r="K115" s="13"/>
      <c r="L115" s="13"/>
      <c r="M115" s="13">
        <f t="shared" si="33"/>
        <v>1563789.2</v>
      </c>
      <c r="O115" s="7">
        <f>'[15]Лист1'!M80</f>
        <v>1563789.2</v>
      </c>
      <c r="P115" s="7">
        <f t="shared" si="31"/>
        <v>0</v>
      </c>
    </row>
    <row r="116" spans="1:16" ht="28.5">
      <c r="A116" s="35">
        <v>170103</v>
      </c>
      <c r="B116" s="6" t="s">
        <v>129</v>
      </c>
      <c r="C116" s="24">
        <f>82348-34020+20126</f>
        <v>68454</v>
      </c>
      <c r="D116" s="13"/>
      <c r="E116" s="13"/>
      <c r="F116" s="13">
        <f>G116+J116</f>
        <v>0</v>
      </c>
      <c r="G116" s="13"/>
      <c r="H116" s="13"/>
      <c r="I116" s="13"/>
      <c r="J116" s="13"/>
      <c r="K116" s="13"/>
      <c r="L116" s="13"/>
      <c r="M116" s="13">
        <f>C116+F116</f>
        <v>68454</v>
      </c>
      <c r="O116" s="7">
        <f>'[15]Лист1'!M81</f>
        <v>68454</v>
      </c>
      <c r="P116" s="7">
        <f t="shared" si="31"/>
        <v>0</v>
      </c>
    </row>
    <row r="117" spans="1:16" ht="42.75">
      <c r="A117" s="10">
        <v>170302</v>
      </c>
      <c r="B117" s="6" t="s">
        <v>66</v>
      </c>
      <c r="C117" s="24">
        <f>60000</f>
        <v>60000</v>
      </c>
      <c r="D117" s="13"/>
      <c r="E117" s="13"/>
      <c r="F117" s="13">
        <f>G117+J117</f>
        <v>0</v>
      </c>
      <c r="G117" s="13"/>
      <c r="H117" s="13"/>
      <c r="I117" s="13"/>
      <c r="J117" s="13"/>
      <c r="K117" s="13"/>
      <c r="L117" s="13"/>
      <c r="M117" s="13">
        <f t="shared" si="33"/>
        <v>60000</v>
      </c>
      <c r="O117" s="7">
        <f>'[15]Лист1'!M82</f>
        <v>60000</v>
      </c>
      <c r="P117" s="7">
        <f t="shared" si="31"/>
        <v>0</v>
      </c>
    </row>
    <row r="118" spans="1:16" ht="30">
      <c r="A118" s="17">
        <v>250000</v>
      </c>
      <c r="B118" s="15" t="s">
        <v>29</v>
      </c>
      <c r="C118" s="40">
        <f aca="true" t="shared" si="35" ref="C118:L118">C119</f>
        <v>64287.87</v>
      </c>
      <c r="D118" s="40">
        <f t="shared" si="35"/>
        <v>0</v>
      </c>
      <c r="E118" s="40">
        <f t="shared" si="35"/>
        <v>0</v>
      </c>
      <c r="F118" s="40">
        <f t="shared" si="35"/>
        <v>0</v>
      </c>
      <c r="G118" s="40">
        <f t="shared" si="35"/>
        <v>0</v>
      </c>
      <c r="H118" s="40">
        <f t="shared" si="35"/>
        <v>0</v>
      </c>
      <c r="I118" s="40">
        <f t="shared" si="35"/>
        <v>0</v>
      </c>
      <c r="J118" s="40">
        <f t="shared" si="35"/>
        <v>0</v>
      </c>
      <c r="K118" s="40">
        <f t="shared" si="35"/>
        <v>0</v>
      </c>
      <c r="L118" s="40">
        <f t="shared" si="35"/>
        <v>0</v>
      </c>
      <c r="M118" s="16">
        <f>C118+F118</f>
        <v>64287.87</v>
      </c>
      <c r="O118" s="7"/>
      <c r="P118" s="7"/>
    </row>
    <row r="119" spans="1:16" ht="42.75">
      <c r="A119" s="39">
        <v>250403</v>
      </c>
      <c r="B119" s="6" t="s">
        <v>116</v>
      </c>
      <c r="C119" s="24">
        <f>14586.28+5232.08+34020+10406+43.51</f>
        <v>64287.87</v>
      </c>
      <c r="D119" s="11"/>
      <c r="E119" s="11"/>
      <c r="F119" s="13"/>
      <c r="G119" s="13"/>
      <c r="H119" s="13"/>
      <c r="I119" s="13"/>
      <c r="J119" s="13"/>
      <c r="K119" s="13"/>
      <c r="L119" s="13"/>
      <c r="M119" s="13">
        <f>C119+F119</f>
        <v>64287.87</v>
      </c>
      <c r="O119" s="7"/>
      <c r="P119" s="7">
        <f>O119-M119</f>
        <v>-64287.87</v>
      </c>
    </row>
    <row r="120" spans="1:16" ht="50.25" customHeight="1">
      <c r="A120" s="18">
        <v>24</v>
      </c>
      <c r="B120" s="15" t="s">
        <v>88</v>
      </c>
      <c r="C120" s="16">
        <f>C121+C129</f>
        <v>4157918</v>
      </c>
      <c r="D120" s="16">
        <f>D121+D129</f>
        <v>2968356</v>
      </c>
      <c r="E120" s="16">
        <f>E121+E129</f>
        <v>130141</v>
      </c>
      <c r="F120" s="16">
        <f>F121+F129</f>
        <v>411191.83999999997</v>
      </c>
      <c r="G120" s="16">
        <f aca="true" t="shared" si="36" ref="G120:L120">G121+G129</f>
        <v>312650</v>
      </c>
      <c r="H120" s="16">
        <f t="shared" si="36"/>
        <v>142616</v>
      </c>
      <c r="I120" s="16">
        <f t="shared" si="36"/>
        <v>8010</v>
      </c>
      <c r="J120" s="16">
        <f t="shared" si="36"/>
        <v>98541.84</v>
      </c>
      <c r="K120" s="16">
        <f t="shared" si="36"/>
        <v>78541.84</v>
      </c>
      <c r="L120" s="16">
        <f t="shared" si="36"/>
        <v>0</v>
      </c>
      <c r="M120" s="16">
        <f t="shared" si="33"/>
        <v>4569109.84</v>
      </c>
      <c r="P120" s="7"/>
    </row>
    <row r="121" spans="1:13" ht="15">
      <c r="A121" s="17">
        <v>110000</v>
      </c>
      <c r="B121" s="15" t="s">
        <v>20</v>
      </c>
      <c r="C121" s="16">
        <f>SUM(C122:C126)</f>
        <v>4157668.74</v>
      </c>
      <c r="D121" s="16">
        <f>SUM(D122:D126)</f>
        <v>2968356</v>
      </c>
      <c r="E121" s="16">
        <f>SUM(E122:E126)</f>
        <v>130141</v>
      </c>
      <c r="F121" s="16">
        <f t="shared" si="27"/>
        <v>411191.83999999997</v>
      </c>
      <c r="G121" s="16">
        <f aca="true" t="shared" si="37" ref="G121:L121">SUM(G122:G126)</f>
        <v>312650</v>
      </c>
      <c r="H121" s="16">
        <f t="shared" si="37"/>
        <v>142616</v>
      </c>
      <c r="I121" s="16">
        <f t="shared" si="37"/>
        <v>8010</v>
      </c>
      <c r="J121" s="16">
        <f t="shared" si="37"/>
        <v>98541.84</v>
      </c>
      <c r="K121" s="16">
        <f t="shared" si="37"/>
        <v>78541.84</v>
      </c>
      <c r="L121" s="16">
        <f t="shared" si="37"/>
        <v>0</v>
      </c>
      <c r="M121" s="16">
        <f t="shared" si="33"/>
        <v>4568860.58</v>
      </c>
    </row>
    <row r="122" spans="1:16" ht="15">
      <c r="A122" s="10">
        <v>110201</v>
      </c>
      <c r="B122" s="6" t="s">
        <v>41</v>
      </c>
      <c r="C122" s="24">
        <f>287361-10900-407+17839+9100+3710</f>
        <v>306703</v>
      </c>
      <c r="D122" s="24">
        <f>180960-8000+9100</f>
        <v>182060</v>
      </c>
      <c r="E122" s="24">
        <f>24513</f>
        <v>24513</v>
      </c>
      <c r="F122" s="13">
        <f aca="true" t="shared" si="38" ref="F122:F128">G122+J122</f>
        <v>15000</v>
      </c>
      <c r="G122" s="24"/>
      <c r="H122" s="24"/>
      <c r="I122" s="24"/>
      <c r="J122" s="13">
        <f>115000-100000</f>
        <v>15000</v>
      </c>
      <c r="K122" s="13">
        <f>115000-100000</f>
        <v>15000</v>
      </c>
      <c r="L122" s="13"/>
      <c r="M122" s="13">
        <f t="shared" si="33"/>
        <v>321703</v>
      </c>
      <c r="O122" s="7">
        <f>'[15]Лист1'!M65</f>
        <v>321703</v>
      </c>
      <c r="P122" s="7">
        <f>O122-M122</f>
        <v>0</v>
      </c>
    </row>
    <row r="123" spans="1:16" ht="15">
      <c r="A123" s="10">
        <v>110202</v>
      </c>
      <c r="B123" s="6" t="s">
        <v>42</v>
      </c>
      <c r="C123" s="24">
        <f>257504-39000-438-2500-1140</f>
        <v>214426</v>
      </c>
      <c r="D123" s="24">
        <f>187461-21000-2500</f>
        <v>163961</v>
      </c>
      <c r="E123" s="24">
        <f>3750</f>
        <v>3750</v>
      </c>
      <c r="F123" s="13">
        <f t="shared" si="38"/>
        <v>74541.84</v>
      </c>
      <c r="G123" s="24">
        <f>11000</f>
        <v>11000</v>
      </c>
      <c r="H123" s="24"/>
      <c r="I123" s="24"/>
      <c r="J123" s="24">
        <f>4000+197000-9000-128458.16</f>
        <v>63541.84</v>
      </c>
      <c r="K123" s="24">
        <f>197000-9000-128458.16</f>
        <v>59541.84</v>
      </c>
      <c r="L123" s="13"/>
      <c r="M123" s="13">
        <f t="shared" si="33"/>
        <v>288967.83999999997</v>
      </c>
      <c r="O123" s="7">
        <f>'[15]Лист1'!M66</f>
        <v>288967.83999999997</v>
      </c>
      <c r="P123" s="7">
        <f>O123-M123</f>
        <v>0</v>
      </c>
    </row>
    <row r="124" spans="1:16" ht="28.5">
      <c r="A124" s="10">
        <v>110204</v>
      </c>
      <c r="B124" s="6" t="s">
        <v>43</v>
      </c>
      <c r="C124" s="24">
        <f>364863-10900+50000-1202-37800-10070</f>
        <v>354891</v>
      </c>
      <c r="D124" s="24">
        <f>262241-8000+38000-37800</f>
        <v>254441</v>
      </c>
      <c r="E124" s="24">
        <f>7427</f>
        <v>7427</v>
      </c>
      <c r="F124" s="13">
        <f t="shared" si="38"/>
        <v>64650</v>
      </c>
      <c r="G124" s="24">
        <f>53650</f>
        <v>53650</v>
      </c>
      <c r="H124" s="24">
        <f>6933</f>
        <v>6933</v>
      </c>
      <c r="I124" s="24">
        <f>5300</f>
        <v>5300</v>
      </c>
      <c r="J124" s="24">
        <f>11000</f>
        <v>11000</v>
      </c>
      <c r="K124" s="13"/>
      <c r="L124" s="13"/>
      <c r="M124" s="13">
        <f t="shared" si="33"/>
        <v>419541</v>
      </c>
      <c r="O124" s="7">
        <f>'[15]Лист1'!M67</f>
        <v>419541</v>
      </c>
      <c r="P124" s="7">
        <f>O124-M124</f>
        <v>0</v>
      </c>
    </row>
    <row r="125" spans="1:16" ht="15">
      <c r="A125" s="10">
        <v>110205</v>
      </c>
      <c r="B125" s="6" t="s">
        <v>44</v>
      </c>
      <c r="C125" s="24">
        <f>2199496-4770+409000-23438+16700</f>
        <v>2596988</v>
      </c>
      <c r="D125" s="24">
        <f>1553643-3500+300100+16700</f>
        <v>1866943</v>
      </c>
      <c r="E125" s="24">
        <f>94451</f>
        <v>94451</v>
      </c>
      <c r="F125" s="13">
        <f t="shared" si="38"/>
        <v>243000</v>
      </c>
      <c r="G125" s="24">
        <f>243000</f>
        <v>243000</v>
      </c>
      <c r="H125" s="24">
        <f>135683</f>
        <v>135683</v>
      </c>
      <c r="I125" s="24">
        <f>2710</f>
        <v>2710</v>
      </c>
      <c r="J125" s="24"/>
      <c r="K125" s="13"/>
      <c r="L125" s="13"/>
      <c r="M125" s="13">
        <f t="shared" si="33"/>
        <v>2839988</v>
      </c>
      <c r="O125" s="7">
        <f>'[15]Лист1'!M68</f>
        <v>2839988</v>
      </c>
      <c r="P125" s="7">
        <f>O125-M125</f>
        <v>0</v>
      </c>
    </row>
    <row r="126" spans="1:17" ht="28.5">
      <c r="A126" s="10">
        <v>110502</v>
      </c>
      <c r="B126" s="6" t="s">
        <v>59</v>
      </c>
      <c r="C126" s="13">
        <f>SUM(C127:C128)</f>
        <v>684660.74</v>
      </c>
      <c r="D126" s="13">
        <f>SUM(D127:D128)</f>
        <v>500951</v>
      </c>
      <c r="E126" s="13">
        <f>SUM(E127:E128)</f>
        <v>0</v>
      </c>
      <c r="F126" s="13">
        <f t="shared" si="38"/>
        <v>14000</v>
      </c>
      <c r="G126" s="13">
        <f aca="true" t="shared" si="39" ref="G126:L126">SUM(G127:G128)</f>
        <v>5000</v>
      </c>
      <c r="H126" s="13">
        <f t="shared" si="39"/>
        <v>0</v>
      </c>
      <c r="I126" s="13">
        <f t="shared" si="39"/>
        <v>0</v>
      </c>
      <c r="J126" s="13">
        <f t="shared" si="39"/>
        <v>9000</v>
      </c>
      <c r="K126" s="13">
        <f t="shared" si="39"/>
        <v>4000</v>
      </c>
      <c r="L126" s="13">
        <f t="shared" si="39"/>
        <v>0</v>
      </c>
      <c r="M126" s="13">
        <f aca="true" t="shared" si="40" ref="M126:M136">C126+F126</f>
        <v>698660.74</v>
      </c>
      <c r="O126" s="7">
        <f>'[15]Лист1'!M69</f>
        <v>1484372.74</v>
      </c>
      <c r="P126" s="7">
        <f>O126-M126</f>
        <v>785712</v>
      </c>
      <c r="Q126" s="7">
        <f>P126-M33</f>
        <v>0</v>
      </c>
    </row>
    <row r="127" spans="1:16" ht="15">
      <c r="A127" s="10">
        <v>110502</v>
      </c>
      <c r="B127" s="6" t="s">
        <v>60</v>
      </c>
      <c r="C127" s="13">
        <f>159632-249.26-4770-1237</f>
        <v>153375.74</v>
      </c>
      <c r="D127" s="13">
        <f>115651+200-3500</f>
        <v>112351</v>
      </c>
      <c r="E127" s="13"/>
      <c r="F127" s="13">
        <f t="shared" si="38"/>
        <v>4000</v>
      </c>
      <c r="G127" s="13"/>
      <c r="H127" s="13"/>
      <c r="I127" s="13"/>
      <c r="J127" s="13">
        <f>4000</f>
        <v>4000</v>
      </c>
      <c r="K127" s="13">
        <f>4000</f>
        <v>4000</v>
      </c>
      <c r="L127" s="13"/>
      <c r="M127" s="13">
        <f t="shared" si="40"/>
        <v>157375.74</v>
      </c>
      <c r="O127" s="7"/>
      <c r="P127" s="7"/>
    </row>
    <row r="128" spans="1:16" ht="15">
      <c r="A128" s="10">
        <v>110502</v>
      </c>
      <c r="B128" s="6" t="s">
        <v>61</v>
      </c>
      <c r="C128" s="13">
        <f>531845-22560+14300+7700</f>
        <v>531285</v>
      </c>
      <c r="D128" s="13">
        <f>390200-15900+14300</f>
        <v>388600</v>
      </c>
      <c r="E128" s="13"/>
      <c r="F128" s="13">
        <f t="shared" si="38"/>
        <v>10000</v>
      </c>
      <c r="G128" s="24">
        <f>5000</f>
        <v>5000</v>
      </c>
      <c r="H128" s="24"/>
      <c r="I128" s="13"/>
      <c r="J128" s="13">
        <f>5000+25000-25000</f>
        <v>5000</v>
      </c>
      <c r="K128" s="13">
        <f>25000-25000</f>
        <v>0</v>
      </c>
      <c r="L128" s="13"/>
      <c r="M128" s="13">
        <f t="shared" si="40"/>
        <v>541285</v>
      </c>
      <c r="O128" s="7"/>
      <c r="P128" s="7"/>
    </row>
    <row r="129" spans="1:16" ht="30">
      <c r="A129" s="17">
        <v>250000</v>
      </c>
      <c r="B129" s="15" t="s">
        <v>29</v>
      </c>
      <c r="C129" s="40">
        <f aca="true" t="shared" si="41" ref="C129:L129">C130</f>
        <v>249.26</v>
      </c>
      <c r="D129" s="40">
        <f t="shared" si="41"/>
        <v>0</v>
      </c>
      <c r="E129" s="40">
        <f t="shared" si="41"/>
        <v>0</v>
      </c>
      <c r="F129" s="40">
        <f t="shared" si="41"/>
        <v>0</v>
      </c>
      <c r="G129" s="40">
        <f t="shared" si="41"/>
        <v>0</v>
      </c>
      <c r="H129" s="40">
        <f t="shared" si="41"/>
        <v>0</v>
      </c>
      <c r="I129" s="40">
        <f t="shared" si="41"/>
        <v>0</v>
      </c>
      <c r="J129" s="40">
        <f t="shared" si="41"/>
        <v>0</v>
      </c>
      <c r="K129" s="40">
        <f t="shared" si="41"/>
        <v>0</v>
      </c>
      <c r="L129" s="40">
        <f t="shared" si="41"/>
        <v>0</v>
      </c>
      <c r="M129" s="16">
        <f>C129+F129</f>
        <v>249.26</v>
      </c>
      <c r="O129" s="7"/>
      <c r="P129" s="7"/>
    </row>
    <row r="130" spans="1:16" ht="42.75">
      <c r="A130" s="39">
        <v>250403</v>
      </c>
      <c r="B130" s="6" t="s">
        <v>116</v>
      </c>
      <c r="C130" s="11">
        <f>249.26</f>
        <v>249.26</v>
      </c>
      <c r="D130" s="11"/>
      <c r="E130" s="11"/>
      <c r="F130" s="13"/>
      <c r="G130" s="13"/>
      <c r="H130" s="13"/>
      <c r="I130" s="13"/>
      <c r="J130" s="13"/>
      <c r="K130" s="13"/>
      <c r="L130" s="13"/>
      <c r="M130" s="13">
        <f>C130+F130</f>
        <v>249.26</v>
      </c>
      <c r="O130" s="7">
        <f>249.26</f>
        <v>249.26</v>
      </c>
      <c r="P130" s="7">
        <f>O130-M130</f>
        <v>0</v>
      </c>
    </row>
    <row r="131" spans="1:16" ht="27.75" customHeight="1">
      <c r="A131" s="18">
        <v>76</v>
      </c>
      <c r="B131" s="15" t="s">
        <v>45</v>
      </c>
      <c r="C131" s="16">
        <f>C134+C132</f>
        <v>99999.99999999999</v>
      </c>
      <c r="D131" s="16">
        <f aca="true" t="shared" si="42" ref="D131:L131">D134+D132</f>
        <v>0</v>
      </c>
      <c r="E131" s="16">
        <f t="shared" si="42"/>
        <v>0</v>
      </c>
      <c r="F131" s="16">
        <f t="shared" si="42"/>
        <v>17334505.7</v>
      </c>
      <c r="G131" s="16">
        <f t="shared" si="42"/>
        <v>17334505.7</v>
      </c>
      <c r="H131" s="16">
        <f t="shared" si="42"/>
        <v>0</v>
      </c>
      <c r="I131" s="16">
        <f t="shared" si="42"/>
        <v>0</v>
      </c>
      <c r="J131" s="16">
        <f t="shared" si="42"/>
        <v>0</v>
      </c>
      <c r="K131" s="16">
        <f t="shared" si="42"/>
        <v>0</v>
      </c>
      <c r="L131" s="16">
        <f t="shared" si="42"/>
        <v>0</v>
      </c>
      <c r="M131" s="16">
        <f t="shared" si="40"/>
        <v>17434505.7</v>
      </c>
      <c r="P131" s="7"/>
    </row>
    <row r="132" spans="1:16" ht="27.75" customHeight="1">
      <c r="A132" s="17">
        <v>100000</v>
      </c>
      <c r="B132" s="15" t="s">
        <v>19</v>
      </c>
      <c r="C132" s="16">
        <f>C133</f>
        <v>0</v>
      </c>
      <c r="D132" s="16">
        <f aca="true" t="shared" si="43" ref="D132:L132">D133</f>
        <v>0</v>
      </c>
      <c r="E132" s="16">
        <f t="shared" si="43"/>
        <v>0</v>
      </c>
      <c r="F132" s="16">
        <f t="shared" si="43"/>
        <v>17334505.7</v>
      </c>
      <c r="G132" s="16">
        <f t="shared" si="43"/>
        <v>17334505.7</v>
      </c>
      <c r="H132" s="16">
        <f t="shared" si="43"/>
        <v>0</v>
      </c>
      <c r="I132" s="16">
        <f t="shared" si="43"/>
        <v>0</v>
      </c>
      <c r="J132" s="16">
        <f t="shared" si="43"/>
        <v>0</v>
      </c>
      <c r="K132" s="16">
        <f t="shared" si="43"/>
        <v>0</v>
      </c>
      <c r="L132" s="16">
        <f t="shared" si="43"/>
        <v>0</v>
      </c>
      <c r="M132" s="16">
        <f t="shared" si="40"/>
        <v>17334505.7</v>
      </c>
      <c r="P132" s="7"/>
    </row>
    <row r="133" spans="1:18" ht="63.75" customHeight="1">
      <c r="A133" s="35">
        <v>100602</v>
      </c>
      <c r="B133" s="6" t="s">
        <v>144</v>
      </c>
      <c r="C133" s="24"/>
      <c r="D133" s="24"/>
      <c r="E133" s="24"/>
      <c r="F133" s="24">
        <f>G133+J133</f>
        <v>17334505.7</v>
      </c>
      <c r="G133" s="24">
        <f>1936000+1018605.15+135624.85+318279.44+96845.26+13829151</f>
        <v>17334505.7</v>
      </c>
      <c r="H133" s="24"/>
      <c r="I133" s="24"/>
      <c r="J133" s="24"/>
      <c r="K133" s="24"/>
      <c r="L133" s="24"/>
      <c r="M133" s="24">
        <f>C133+F133</f>
        <v>17334505.7</v>
      </c>
      <c r="O133" s="7">
        <f>'[15]Лист1'!$M$63</f>
        <v>17334505.7</v>
      </c>
      <c r="P133" s="7">
        <f>O133-M133</f>
        <v>0</v>
      </c>
      <c r="Q133" s="7">
        <f>'[14]Лист1'!$D$107</f>
        <v>17334505.7</v>
      </c>
      <c r="R133" s="7">
        <f>Q133-M133</f>
        <v>0</v>
      </c>
    </row>
    <row r="134" spans="1:13" ht="30">
      <c r="A134" s="17">
        <v>250000</v>
      </c>
      <c r="B134" s="15" t="s">
        <v>29</v>
      </c>
      <c r="C134" s="16">
        <f>SUM(C135:C135)</f>
        <v>99999.99999999999</v>
      </c>
      <c r="D134" s="16">
        <f>SUM(D135:D135)</f>
        <v>0</v>
      </c>
      <c r="E134" s="16">
        <f>SUM(E135:E135)</f>
        <v>0</v>
      </c>
      <c r="F134" s="16">
        <f>G134+J134</f>
        <v>0</v>
      </c>
      <c r="G134" s="16">
        <f aca="true" t="shared" si="44" ref="G134:L134">SUM(G135:G135)</f>
        <v>0</v>
      </c>
      <c r="H134" s="16">
        <f t="shared" si="44"/>
        <v>0</v>
      </c>
      <c r="I134" s="16">
        <f t="shared" si="44"/>
        <v>0</v>
      </c>
      <c r="J134" s="16">
        <f t="shared" si="44"/>
        <v>0</v>
      </c>
      <c r="K134" s="16">
        <f t="shared" si="44"/>
        <v>0</v>
      </c>
      <c r="L134" s="16">
        <f t="shared" si="44"/>
        <v>0</v>
      </c>
      <c r="M134" s="16">
        <f t="shared" si="40"/>
        <v>99999.99999999999</v>
      </c>
    </row>
    <row r="135" spans="1:16" ht="15">
      <c r="A135" s="10">
        <v>250102</v>
      </c>
      <c r="B135" s="6" t="s">
        <v>46</v>
      </c>
      <c r="C135" s="24">
        <f>100000-11656.58-24892-55000-8451+200000-196964-3036.42+100000</f>
        <v>99999.99999999999</v>
      </c>
      <c r="D135" s="13"/>
      <c r="E135" s="13"/>
      <c r="F135" s="13">
        <f>G135+J135</f>
        <v>0</v>
      </c>
      <c r="G135" s="13"/>
      <c r="H135" s="13"/>
      <c r="I135" s="13"/>
      <c r="J135" s="13"/>
      <c r="K135" s="13"/>
      <c r="L135" s="13"/>
      <c r="M135" s="13">
        <f t="shared" si="40"/>
        <v>99999.99999999999</v>
      </c>
      <c r="O135" s="7">
        <f>'[15]Лист1'!$M$96</f>
        <v>99999.99999999999</v>
      </c>
      <c r="P135" s="7">
        <f>O135-M135</f>
        <v>0</v>
      </c>
    </row>
    <row r="136" spans="1:16" ht="15">
      <c r="A136" s="17" t="s">
        <v>47</v>
      </c>
      <c r="B136" s="17"/>
      <c r="C136" s="16">
        <f aca="true" t="shared" si="45" ref="C136:L136">C131+C120+C78+C63+C11</f>
        <v>128058781.61000001</v>
      </c>
      <c r="D136" s="16">
        <f t="shared" si="45"/>
        <v>38899196</v>
      </c>
      <c r="E136" s="16">
        <f t="shared" si="45"/>
        <v>4760537.24</v>
      </c>
      <c r="F136" s="16">
        <f t="shared" si="45"/>
        <v>40910469.08</v>
      </c>
      <c r="G136" s="16">
        <f t="shared" si="45"/>
        <v>22274005.71</v>
      </c>
      <c r="H136" s="16">
        <f t="shared" si="45"/>
        <v>646136</v>
      </c>
      <c r="I136" s="16">
        <f t="shared" si="45"/>
        <v>126407</v>
      </c>
      <c r="J136" s="16">
        <f t="shared" si="45"/>
        <v>18636463.369999997</v>
      </c>
      <c r="K136" s="16">
        <f t="shared" si="45"/>
        <v>14355627.799999999</v>
      </c>
      <c r="L136" s="16">
        <f t="shared" si="45"/>
        <v>19000</v>
      </c>
      <c r="M136" s="16">
        <f t="shared" si="40"/>
        <v>168969250.69</v>
      </c>
      <c r="O136" s="7">
        <f>'[15]Лист1'!$M$100</f>
        <v>168969250.69</v>
      </c>
      <c r="P136" s="7">
        <f>O136-M136</f>
        <v>0</v>
      </c>
    </row>
    <row r="138" spans="2:7" ht="15">
      <c r="B138" s="1" t="s">
        <v>48</v>
      </c>
      <c r="F138" s="7"/>
      <c r="G138" s="1" t="s">
        <v>49</v>
      </c>
    </row>
    <row r="139" spans="6:13" ht="15">
      <c r="F139" s="7"/>
      <c r="K139" s="7"/>
      <c r="M139" s="7"/>
    </row>
    <row r="140" spans="2:13" ht="98.25" customHeight="1">
      <c r="B140" t="s">
        <v>154</v>
      </c>
      <c r="C140" s="7">
        <f>'[14]Лист1'!$C$108</f>
        <v>127932664.2</v>
      </c>
      <c r="D140" s="59" t="s">
        <v>158</v>
      </c>
      <c r="E140" s="59"/>
      <c r="F140" s="7">
        <f>'[14]Лист1'!$D$108</f>
        <v>36451877.7</v>
      </c>
      <c r="G140" s="59" t="s">
        <v>157</v>
      </c>
      <c r="H140" s="59"/>
      <c r="I140" s="60"/>
      <c r="K140" s="7">
        <f>'[14]Лист1'!$E$108</f>
        <v>11892205</v>
      </c>
      <c r="M140" s="7">
        <f>'[14]Лист1'!$F$108</f>
        <v>164384541.9</v>
      </c>
    </row>
    <row r="141" spans="2:17" ht="15">
      <c r="B141" t="s">
        <v>109</v>
      </c>
      <c r="C141" s="7">
        <f>C140-C136</f>
        <v>-126117.41000001132</v>
      </c>
      <c r="F141" s="7">
        <f>F140-F136</f>
        <v>-4458591.379999995</v>
      </c>
      <c r="G141" s="60"/>
      <c r="H141" s="60"/>
      <c r="I141" s="60"/>
      <c r="K141" s="7">
        <f>K140-K136</f>
        <v>-2463422.799999999</v>
      </c>
      <c r="M141" s="7">
        <f>M140-M136</f>
        <v>-4584708.789999992</v>
      </c>
      <c r="O141" s="7">
        <f>'[16]Лист1'!$C$21</f>
        <v>126117.40999999992</v>
      </c>
      <c r="P141" t="s">
        <v>156</v>
      </c>
      <c r="Q141" s="7">
        <f>O141+M141</f>
        <v>-4458591.3799999915</v>
      </c>
    </row>
    <row r="142" spans="2:13" ht="15">
      <c r="B142" t="s">
        <v>155</v>
      </c>
      <c r="C142" s="7">
        <f>'[15]Лист1'!C100</f>
        <v>128058781.61</v>
      </c>
      <c r="D142" s="7">
        <f>'[15]Лист1'!D100</f>
        <v>38899196</v>
      </c>
      <c r="E142" s="7">
        <f>'[15]Лист1'!E100</f>
        <v>4760537.24</v>
      </c>
      <c r="F142" s="7">
        <f>'[15]Лист1'!F100</f>
        <v>40910469.08</v>
      </c>
      <c r="G142" s="7">
        <f>'[15]Лист1'!G100</f>
        <v>22274005.71</v>
      </c>
      <c r="H142" s="7">
        <f>'[15]Лист1'!H100</f>
        <v>646136</v>
      </c>
      <c r="I142" s="7">
        <f>'[15]Лист1'!I100</f>
        <v>126407</v>
      </c>
      <c r="J142" s="7">
        <f>'[15]Лист1'!J100</f>
        <v>18636463.369999997</v>
      </c>
      <c r="K142" s="7">
        <f>'[15]Лист1'!K100</f>
        <v>14355627.8</v>
      </c>
      <c r="L142" s="7">
        <f>'[15]Лист1'!L100</f>
        <v>19000</v>
      </c>
      <c r="M142" s="7">
        <f>'[15]Лист1'!M100</f>
        <v>168969250.69</v>
      </c>
    </row>
    <row r="143" spans="2:15" ht="15">
      <c r="B143" t="s">
        <v>109</v>
      </c>
      <c r="C143" s="7">
        <f>C142-C136</f>
        <v>0</v>
      </c>
      <c r="D143" s="7">
        <f aca="true" t="shared" si="46" ref="D143:M143">D142-D136</f>
        <v>0</v>
      </c>
      <c r="E143" s="7">
        <f t="shared" si="46"/>
        <v>0</v>
      </c>
      <c r="F143" s="7">
        <f t="shared" si="46"/>
        <v>0</v>
      </c>
      <c r="G143" s="7">
        <f t="shared" si="46"/>
        <v>0</v>
      </c>
      <c r="H143" s="7">
        <f t="shared" si="46"/>
        <v>0</v>
      </c>
      <c r="I143" s="7">
        <f t="shared" si="46"/>
        <v>0</v>
      </c>
      <c r="J143" s="7">
        <f t="shared" si="46"/>
        <v>0</v>
      </c>
      <c r="K143" s="7">
        <f t="shared" si="46"/>
        <v>0</v>
      </c>
      <c r="L143" s="7">
        <f t="shared" si="46"/>
        <v>0</v>
      </c>
      <c r="M143" s="7">
        <f t="shared" si="46"/>
        <v>0</v>
      </c>
      <c r="O143" s="7"/>
    </row>
    <row r="144" spans="2:3" ht="15">
      <c r="B144" t="s">
        <v>110</v>
      </c>
      <c r="C144">
        <f>-1435892</f>
        <v>-1435892</v>
      </c>
    </row>
    <row r="145" ht="15">
      <c r="B145" t="s">
        <v>109</v>
      </c>
    </row>
    <row r="146" spans="2:13" ht="89.25" customHeight="1">
      <c r="B146" t="s">
        <v>152</v>
      </c>
      <c r="C146" s="7">
        <f>'[12]Лист1'!$C$107</f>
        <v>126634527</v>
      </c>
      <c r="D146" s="59" t="s">
        <v>151</v>
      </c>
      <c r="E146" s="59"/>
      <c r="F146" s="7">
        <f>'[12]Лист1'!$D$107</f>
        <v>21822726.64</v>
      </c>
      <c r="G146" s="59" t="s">
        <v>150</v>
      </c>
      <c r="H146" s="59"/>
      <c r="I146" s="60"/>
      <c r="K146" s="7">
        <f>'[12]Лист1'!$E$107</f>
        <v>11092205</v>
      </c>
      <c r="M146" s="7">
        <f>'[12]Лист1'!$F$107</f>
        <v>148457253.64</v>
      </c>
    </row>
    <row r="147" spans="2:13" ht="15">
      <c r="B147" t="s">
        <v>109</v>
      </c>
      <c r="C147" s="7">
        <f>C146-C136</f>
        <v>-1424254.6100000143</v>
      </c>
      <c r="F147" s="7">
        <f>F146-F136</f>
        <v>-19087742.439999998</v>
      </c>
      <c r="G147" s="60"/>
      <c r="H147" s="60"/>
      <c r="I147" s="60"/>
      <c r="K147" s="7">
        <f>K146-K136</f>
        <v>-3263422.799999999</v>
      </c>
      <c r="M147" s="7">
        <f>M146-M136</f>
        <v>-20511997.050000012</v>
      </c>
    </row>
    <row r="148" spans="2:13" ht="15">
      <c r="B148" t="s">
        <v>153</v>
      </c>
      <c r="C148" s="7">
        <f>'[13]Лист1'!C100</f>
        <v>127698696.41</v>
      </c>
      <c r="D148" s="7">
        <f>'[13]Лист1'!D100</f>
        <v>38303138</v>
      </c>
      <c r="E148" s="7">
        <f>'[13]Лист1'!E100</f>
        <v>4319275</v>
      </c>
      <c r="F148" s="7">
        <f>'[13]Лист1'!F100</f>
        <v>25343266.08</v>
      </c>
      <c r="G148" s="7">
        <f>'[13]Лист1'!G100</f>
        <v>8444854.71</v>
      </c>
      <c r="H148" s="7">
        <f>'[13]Лист1'!H100</f>
        <v>646136</v>
      </c>
      <c r="I148" s="7">
        <f>'[13]Лист1'!I100</f>
        <v>126407</v>
      </c>
      <c r="J148" s="7">
        <f>'[13]Лист1'!J100</f>
        <v>16898411.37</v>
      </c>
      <c r="K148" s="7">
        <f>'[13]Лист1'!K100</f>
        <v>13586627.8</v>
      </c>
      <c r="L148" s="7">
        <f>'[13]Лист1'!L100</f>
        <v>50000</v>
      </c>
      <c r="M148" s="7">
        <f>'[13]Лист1'!M100</f>
        <v>153041962.49</v>
      </c>
    </row>
    <row r="149" spans="2:13" ht="15">
      <c r="B149" t="s">
        <v>109</v>
      </c>
      <c r="C149" s="7">
        <f>C148-C136</f>
        <v>-360085.2000000179</v>
      </c>
      <c r="D149" s="7">
        <f aca="true" t="shared" si="47" ref="D149:M149">D148-D136</f>
        <v>-596058</v>
      </c>
      <c r="E149" s="7">
        <f t="shared" si="47"/>
        <v>-441262.2400000002</v>
      </c>
      <c r="F149" s="7">
        <f t="shared" si="47"/>
        <v>-15567203</v>
      </c>
      <c r="G149" s="7">
        <f t="shared" si="47"/>
        <v>-13829151</v>
      </c>
      <c r="H149" s="7">
        <f t="shared" si="47"/>
        <v>0</v>
      </c>
      <c r="I149" s="7">
        <f t="shared" si="47"/>
        <v>0</v>
      </c>
      <c r="J149" s="7">
        <f t="shared" si="47"/>
        <v>-1738051.9999999963</v>
      </c>
      <c r="K149" s="7">
        <f t="shared" si="47"/>
        <v>-768999.9999999981</v>
      </c>
      <c r="L149" s="7">
        <f t="shared" si="47"/>
        <v>31000</v>
      </c>
      <c r="M149" s="7">
        <f t="shared" si="47"/>
        <v>-15927288.199999988</v>
      </c>
    </row>
    <row r="150" ht="15">
      <c r="B150" t="s">
        <v>110</v>
      </c>
    </row>
    <row r="151" ht="15">
      <c r="B151" t="s">
        <v>109</v>
      </c>
    </row>
    <row r="152" spans="2:13" ht="90.75" customHeight="1">
      <c r="B152" t="s">
        <v>147</v>
      </c>
      <c r="C152" s="7">
        <f>'[10]Лист1'!$C$107</f>
        <v>126634527</v>
      </c>
      <c r="D152" s="59" t="s">
        <v>151</v>
      </c>
      <c r="E152" s="59"/>
      <c r="F152" s="7">
        <f>'[10]Лист1'!$D$107</f>
        <v>21822726.64</v>
      </c>
      <c r="G152" s="59" t="s">
        <v>150</v>
      </c>
      <c r="H152" s="59"/>
      <c r="I152" s="60"/>
      <c r="K152" s="7">
        <f>'[10]Лист1'!$E$107</f>
        <v>11092205</v>
      </c>
      <c r="M152" s="7">
        <f>'[10]Лист1'!$F$107</f>
        <v>148457253.64</v>
      </c>
    </row>
    <row r="153" spans="2:13" ht="15">
      <c r="B153" t="s">
        <v>109</v>
      </c>
      <c r="C153" s="7">
        <f>C152-C136</f>
        <v>-1424254.6100000143</v>
      </c>
      <c r="F153" s="7">
        <f>F152-F136</f>
        <v>-19087742.439999998</v>
      </c>
      <c r="G153" s="60"/>
      <c r="H153" s="60"/>
      <c r="I153" s="60"/>
      <c r="K153" s="7">
        <f>K152-K136</f>
        <v>-3263422.799999999</v>
      </c>
      <c r="M153" s="7">
        <f>M152-M136</f>
        <v>-20511997.050000012</v>
      </c>
    </row>
    <row r="154" spans="2:13" ht="15">
      <c r="B154" t="s">
        <v>148</v>
      </c>
      <c r="C154" s="7">
        <f>'[11]Лист1'!C100</f>
        <v>127698696.41</v>
      </c>
      <c r="D154" s="7">
        <f>'[11]Лист1'!D100</f>
        <v>38303138</v>
      </c>
      <c r="E154" s="7">
        <f>'[11]Лист1'!E100</f>
        <v>4319275</v>
      </c>
      <c r="F154" s="7">
        <f>'[11]Лист1'!F100</f>
        <v>25343266.08</v>
      </c>
      <c r="G154" s="7">
        <f>'[11]Лист1'!G100</f>
        <v>8444854.71</v>
      </c>
      <c r="H154" s="7">
        <f>'[11]Лист1'!H100</f>
        <v>646136</v>
      </c>
      <c r="I154" s="7">
        <f>'[11]Лист1'!I100</f>
        <v>126407</v>
      </c>
      <c r="J154" s="7">
        <f>'[11]Лист1'!J100</f>
        <v>16898411.37</v>
      </c>
      <c r="K154" s="7">
        <f>'[11]Лист1'!K100</f>
        <v>13586627.8</v>
      </c>
      <c r="L154" s="7">
        <f>'[11]Лист1'!L100</f>
        <v>50000</v>
      </c>
      <c r="M154" s="7">
        <f>'[11]Лист1'!M100</f>
        <v>153041962.49</v>
      </c>
    </row>
    <row r="155" spans="2:13" ht="15">
      <c r="B155" t="s">
        <v>109</v>
      </c>
      <c r="C155" s="7">
        <f>C154-C136</f>
        <v>-360085.2000000179</v>
      </c>
      <c r="D155" s="7">
        <f aca="true" t="shared" si="48" ref="D155:M155">D154-D136</f>
        <v>-596058</v>
      </c>
      <c r="E155" s="7">
        <f t="shared" si="48"/>
        <v>-441262.2400000002</v>
      </c>
      <c r="F155" s="7">
        <f t="shared" si="48"/>
        <v>-15567203</v>
      </c>
      <c r="G155" s="7">
        <f t="shared" si="48"/>
        <v>-13829151</v>
      </c>
      <c r="H155" s="7">
        <f t="shared" si="48"/>
        <v>0</v>
      </c>
      <c r="I155" s="7">
        <f t="shared" si="48"/>
        <v>0</v>
      </c>
      <c r="J155" s="7">
        <f t="shared" si="48"/>
        <v>-1738051.9999999963</v>
      </c>
      <c r="K155" s="7">
        <f t="shared" si="48"/>
        <v>-768999.9999999981</v>
      </c>
      <c r="L155" s="7">
        <f t="shared" si="48"/>
        <v>31000</v>
      </c>
      <c r="M155" s="7">
        <f t="shared" si="48"/>
        <v>-15927288.199999988</v>
      </c>
    </row>
    <row r="156" ht="15">
      <c r="B156" t="s">
        <v>110</v>
      </c>
    </row>
    <row r="157" ht="15">
      <c r="B157" t="s">
        <v>109</v>
      </c>
    </row>
    <row r="158" spans="2:13" ht="94.5" customHeight="1">
      <c r="B158" t="s">
        <v>145</v>
      </c>
      <c r="C158" s="7">
        <f>'[8]Лист1'!$C$107</f>
        <v>126634527</v>
      </c>
      <c r="D158" s="59" t="s">
        <v>138</v>
      </c>
      <c r="E158" s="59"/>
      <c r="F158" s="7">
        <f>'[8]Лист1'!$D$107</f>
        <v>21630881.439999998</v>
      </c>
      <c r="G158" s="59" t="s">
        <v>137</v>
      </c>
      <c r="H158" s="59"/>
      <c r="I158" s="60"/>
      <c r="K158" s="7">
        <f>'[8]Лист1'!$E$107</f>
        <v>11092205</v>
      </c>
      <c r="M158" s="7">
        <f>'[8]Лист1'!$F$107</f>
        <v>148265408.44</v>
      </c>
    </row>
    <row r="159" spans="2:13" ht="15">
      <c r="B159" t="s">
        <v>109</v>
      </c>
      <c r="C159" s="7">
        <f>C158-C136</f>
        <v>-1424254.6100000143</v>
      </c>
      <c r="F159" s="7">
        <f>F158-F136</f>
        <v>-19279587.64</v>
      </c>
      <c r="G159" s="60"/>
      <c r="H159" s="60"/>
      <c r="I159" s="60"/>
      <c r="K159" s="7">
        <f>K158-K136</f>
        <v>-3263422.799999999</v>
      </c>
      <c r="M159" s="7">
        <f>M158-M136</f>
        <v>-20703842.25</v>
      </c>
    </row>
    <row r="160" spans="2:13" ht="15">
      <c r="B160" t="s">
        <v>146</v>
      </c>
      <c r="C160" s="7">
        <f>'[9]Лист1'!C99</f>
        <v>127698696.41</v>
      </c>
      <c r="D160" s="7">
        <f>'[9]Лист1'!D99</f>
        <v>38323138</v>
      </c>
      <c r="E160" s="7">
        <f>'[9]Лист1'!E99</f>
        <v>4297706</v>
      </c>
      <c r="F160" s="7">
        <f>'[9]Лист1'!F99</f>
        <v>25151420.82</v>
      </c>
      <c r="G160" s="7">
        <f>'[9]Лист1'!G99</f>
        <v>8253009.45</v>
      </c>
      <c r="H160" s="7">
        <f>'[9]Лист1'!H99</f>
        <v>646136</v>
      </c>
      <c r="I160" s="7">
        <f>'[9]Лист1'!I99</f>
        <v>126407</v>
      </c>
      <c r="J160" s="7">
        <f>'[9]Лист1'!J99</f>
        <v>16898411.37</v>
      </c>
      <c r="K160" s="7">
        <f>'[9]Лист1'!K99</f>
        <v>13586627.8</v>
      </c>
      <c r="L160" s="7">
        <f>'[9]Лист1'!L99</f>
        <v>50000</v>
      </c>
      <c r="M160" s="7">
        <f>'[9]Лист1'!M99</f>
        <v>152850117.23</v>
      </c>
    </row>
    <row r="161" spans="2:13" ht="15">
      <c r="B161" t="s">
        <v>109</v>
      </c>
      <c r="C161" s="7">
        <f>C160-C136</f>
        <v>-360085.2000000179</v>
      </c>
      <c r="D161" s="7">
        <f aca="true" t="shared" si="49" ref="D161:M161">D160-D136</f>
        <v>-576058</v>
      </c>
      <c r="E161" s="7">
        <f t="shared" si="49"/>
        <v>-462831.2400000002</v>
      </c>
      <c r="F161" s="7">
        <f t="shared" si="49"/>
        <v>-15759048.259999998</v>
      </c>
      <c r="G161" s="7">
        <f t="shared" si="49"/>
        <v>-14020996.260000002</v>
      </c>
      <c r="H161" s="7">
        <f t="shared" si="49"/>
        <v>0</v>
      </c>
      <c r="I161" s="7">
        <f t="shared" si="49"/>
        <v>0</v>
      </c>
      <c r="J161" s="7">
        <f t="shared" si="49"/>
        <v>-1738051.9999999963</v>
      </c>
      <c r="K161" s="7">
        <f t="shared" si="49"/>
        <v>-768999.9999999981</v>
      </c>
      <c r="L161" s="7">
        <f t="shared" si="49"/>
        <v>31000</v>
      </c>
      <c r="M161" s="7">
        <f t="shared" si="49"/>
        <v>-16119133.460000008</v>
      </c>
    </row>
    <row r="162" spans="2:6" ht="15">
      <c r="B162" t="s">
        <v>110</v>
      </c>
      <c r="C162">
        <f>2705000</f>
        <v>2705000</v>
      </c>
      <c r="F162">
        <f>160000</f>
        <v>160000</v>
      </c>
    </row>
    <row r="163" spans="2:6" ht="15">
      <c r="B163" t="s">
        <v>109</v>
      </c>
      <c r="C163" s="7">
        <f>C162-C161</f>
        <v>3065085.200000018</v>
      </c>
      <c r="F163" s="7">
        <f>F162-F161</f>
        <v>15919048.259999998</v>
      </c>
    </row>
    <row r="164" spans="2:13" ht="75.75" customHeight="1">
      <c r="B164" t="s">
        <v>142</v>
      </c>
      <c r="C164" s="7">
        <f>'[7]Лист1'!$C$107</f>
        <v>123729527</v>
      </c>
      <c r="D164" s="59" t="s">
        <v>138</v>
      </c>
      <c r="E164" s="59"/>
      <c r="F164" s="7">
        <f>'[7]Лист1'!$D$107</f>
        <v>19717645</v>
      </c>
      <c r="G164" s="59" t="s">
        <v>137</v>
      </c>
      <c r="H164" s="59"/>
      <c r="I164" s="60"/>
      <c r="K164" s="7">
        <f>'[7]Лист1'!$E$107</f>
        <v>9497248</v>
      </c>
      <c r="M164" s="7">
        <f>'[7]Лист1'!$F$107</f>
        <v>143447172</v>
      </c>
    </row>
    <row r="165" spans="2:13" ht="15">
      <c r="B165" t="s">
        <v>109</v>
      </c>
      <c r="C165" s="7">
        <f>C164-C136</f>
        <v>-4329254.610000014</v>
      </c>
      <c r="F165" s="7">
        <f>F164-F136</f>
        <v>-21192824.08</v>
      </c>
      <c r="G165" s="60"/>
      <c r="H165" s="60"/>
      <c r="I165" s="60"/>
      <c r="K165" s="7">
        <f>K164-K136</f>
        <v>-4858379.799999999</v>
      </c>
      <c r="M165" s="7">
        <f>M164-M136</f>
        <v>-25522078.689999998</v>
      </c>
    </row>
    <row r="166" ht="15">
      <c r="B166" t="s">
        <v>143</v>
      </c>
    </row>
    <row r="167" spans="2:13" ht="15">
      <c r="B167" t="s">
        <v>109</v>
      </c>
      <c r="C167" s="7">
        <f aca="true" t="shared" si="50" ref="C167:L167">C166-C136</f>
        <v>-128058781.61000001</v>
      </c>
      <c r="D167" s="7">
        <f t="shared" si="50"/>
        <v>-38899196</v>
      </c>
      <c r="E167" s="7">
        <f t="shared" si="50"/>
        <v>-4760537.24</v>
      </c>
      <c r="F167" s="7">
        <f t="shared" si="50"/>
        <v>-40910469.08</v>
      </c>
      <c r="G167" s="7">
        <f t="shared" si="50"/>
        <v>-22274005.71</v>
      </c>
      <c r="H167" s="7">
        <f t="shared" si="50"/>
        <v>-646136</v>
      </c>
      <c r="I167" s="7">
        <f t="shared" si="50"/>
        <v>-126407</v>
      </c>
      <c r="J167" s="7">
        <f t="shared" si="50"/>
        <v>-18636463.369999997</v>
      </c>
      <c r="K167" s="7">
        <f t="shared" si="50"/>
        <v>-14355627.799999999</v>
      </c>
      <c r="L167" s="7">
        <f t="shared" si="50"/>
        <v>-19000</v>
      </c>
      <c r="M167" s="7">
        <f>M166-M136</f>
        <v>-168969250.69</v>
      </c>
    </row>
    <row r="168" ht="15">
      <c r="B168" t="s">
        <v>110</v>
      </c>
    </row>
    <row r="169" ht="15">
      <c r="B169" t="s">
        <v>109</v>
      </c>
    </row>
    <row r="170" spans="2:13" ht="88.5" customHeight="1">
      <c r="B170" t="s">
        <v>139</v>
      </c>
      <c r="C170" s="7">
        <f>'[5]Лист1'!$C$107</f>
        <v>124502386</v>
      </c>
      <c r="D170" s="59" t="s">
        <v>138</v>
      </c>
      <c r="E170" s="59"/>
      <c r="F170" s="7">
        <f>'[5]Лист1'!$D$107</f>
        <v>17021615</v>
      </c>
      <c r="G170" s="59" t="s">
        <v>137</v>
      </c>
      <c r="H170" s="59"/>
      <c r="I170" s="60"/>
      <c r="K170" s="7">
        <f>'[5]Лист1'!$E$107</f>
        <v>7955448</v>
      </c>
      <c r="M170" s="7">
        <f>'[5]Лист1'!$F$107</f>
        <v>141524001</v>
      </c>
    </row>
    <row r="171" spans="2:13" ht="15">
      <c r="B171" t="s">
        <v>109</v>
      </c>
      <c r="C171" s="7">
        <f>C170-C136</f>
        <v>-3556395.6100000143</v>
      </c>
      <c r="F171" s="7">
        <f>F170-F136</f>
        <v>-23888854.08</v>
      </c>
      <c r="G171" s="60"/>
      <c r="H171" s="60"/>
      <c r="I171" s="60"/>
      <c r="K171" s="7">
        <f>K170-K136</f>
        <v>-6400179.799999999</v>
      </c>
      <c r="M171" s="7">
        <f>M170-M136</f>
        <v>-27445249.689999998</v>
      </c>
    </row>
    <row r="172" spans="2:13" ht="15">
      <c r="B172" t="s">
        <v>140</v>
      </c>
      <c r="C172" s="7">
        <f>'[6]Лист1'!C99</f>
        <v>125566555.41</v>
      </c>
      <c r="D172" s="7">
        <f>'[6]Лист1'!D99</f>
        <v>36384983</v>
      </c>
      <c r="E172" s="7">
        <f>'[6]Лист1'!E99</f>
        <v>4295614</v>
      </c>
      <c r="F172" s="7">
        <f>'[6]Лист1'!F99</f>
        <v>20543854.380000003</v>
      </c>
      <c r="G172" s="7">
        <f>'[6]Лист1'!G99</f>
        <v>6782571.43</v>
      </c>
      <c r="H172" s="7">
        <f>'[6]Лист1'!H99</f>
        <v>646136</v>
      </c>
      <c r="I172" s="7">
        <f>'[6]Лист1'!I99</f>
        <v>126407</v>
      </c>
      <c r="J172" s="7">
        <f>'[6]Лист1'!J99</f>
        <v>13761282.95</v>
      </c>
      <c r="K172" s="7">
        <f>'[6]Лист1'!K99</f>
        <v>10449870.8</v>
      </c>
      <c r="L172" s="7">
        <f>'[6]Лист1'!L99</f>
        <v>50000</v>
      </c>
      <c r="M172" s="7">
        <f>'[6]Лист1'!M99</f>
        <v>146110409.79</v>
      </c>
    </row>
    <row r="173" spans="2:13" ht="15">
      <c r="B173" t="s">
        <v>109</v>
      </c>
      <c r="C173" s="7">
        <f>C172-C136</f>
        <v>-2492226.200000018</v>
      </c>
      <c r="D173" s="7">
        <f aca="true" t="shared" si="51" ref="D173:M173">D172-D136</f>
        <v>-2514213</v>
      </c>
      <c r="E173" s="7">
        <f t="shared" si="51"/>
        <v>-464923.2400000002</v>
      </c>
      <c r="F173" s="7">
        <f t="shared" si="51"/>
        <v>-20366614.699999996</v>
      </c>
      <c r="G173" s="7">
        <f t="shared" si="51"/>
        <v>-15491434.280000001</v>
      </c>
      <c r="H173" s="7">
        <f t="shared" si="51"/>
        <v>0</v>
      </c>
      <c r="I173" s="7">
        <f t="shared" si="51"/>
        <v>0</v>
      </c>
      <c r="J173" s="7">
        <f t="shared" si="51"/>
        <v>-4875180.419999998</v>
      </c>
      <c r="K173" s="7">
        <f t="shared" si="51"/>
        <v>-3905756.999999998</v>
      </c>
      <c r="L173" s="7">
        <f t="shared" si="51"/>
        <v>31000</v>
      </c>
      <c r="M173" s="7">
        <f t="shared" si="51"/>
        <v>-22858840.900000006</v>
      </c>
    </row>
    <row r="174" spans="2:13" ht="15">
      <c r="B174" t="s">
        <v>110</v>
      </c>
      <c r="C174">
        <f>-2412200</f>
        <v>-2412200</v>
      </c>
      <c r="D174" s="45">
        <f>156035</f>
        <v>156035</v>
      </c>
      <c r="E174" s="45"/>
      <c r="F174">
        <f>295800</f>
        <v>295800</v>
      </c>
      <c r="G174" s="1"/>
      <c r="M174">
        <f>F174+C174</f>
        <v>-2116400</v>
      </c>
    </row>
    <row r="175" ht="15">
      <c r="B175" t="s">
        <v>109</v>
      </c>
    </row>
    <row r="176" spans="2:13" ht="74.25" customHeight="1">
      <c r="B176" t="s">
        <v>135</v>
      </c>
      <c r="C176" s="7">
        <f>'[4]Лист1'!$C$107</f>
        <v>126914586</v>
      </c>
      <c r="D176" s="59" t="s">
        <v>138</v>
      </c>
      <c r="E176" s="59"/>
      <c r="F176" s="7">
        <f>'[4]Лист1'!$D$107</f>
        <v>16727515</v>
      </c>
      <c r="G176" s="59" t="s">
        <v>137</v>
      </c>
      <c r="H176" s="59"/>
      <c r="I176" s="60"/>
      <c r="K176" s="7">
        <f>'[4]Лист1'!$E$107</f>
        <v>7955448</v>
      </c>
      <c r="M176" s="7">
        <f>'[4]Лист1'!$F$107</f>
        <v>143642101</v>
      </c>
    </row>
    <row r="177" spans="2:13" ht="15">
      <c r="B177" t="s">
        <v>109</v>
      </c>
      <c r="C177" s="7">
        <f>C176-C136</f>
        <v>-1144195.6100000143</v>
      </c>
      <c r="F177" s="7">
        <f>F176-F136</f>
        <v>-24182954.08</v>
      </c>
      <c r="G177" s="60"/>
      <c r="H177" s="60"/>
      <c r="I177" s="60"/>
      <c r="K177" s="7">
        <f>K176-K136</f>
        <v>-6400179.799999999</v>
      </c>
      <c r="M177" s="7">
        <f>M176-M136</f>
        <v>-25327149.689999998</v>
      </c>
    </row>
    <row r="178" spans="2:13" ht="15">
      <c r="B178" t="s">
        <v>136</v>
      </c>
      <c r="C178" s="7">
        <f>'[3]Лист1'!C98</f>
        <v>127978755.41</v>
      </c>
      <c r="D178" s="7">
        <f>'[3]Лист1'!D98</f>
        <v>37406134</v>
      </c>
      <c r="E178" s="7">
        <f>'[3]Лист1'!E98</f>
        <v>4301279</v>
      </c>
      <c r="F178" s="7">
        <f>'[3]Лист1'!F98</f>
        <v>20248054.38</v>
      </c>
      <c r="G178" s="7">
        <f>'[3]Лист1'!G98</f>
        <v>6687971.43</v>
      </c>
      <c r="H178" s="7">
        <f>'[3]Лист1'!H98</f>
        <v>646136</v>
      </c>
      <c r="I178" s="7">
        <f>'[3]Лист1'!I98</f>
        <v>126407</v>
      </c>
      <c r="J178" s="7">
        <f>'[3]Лист1'!J98</f>
        <v>13560082.95</v>
      </c>
      <c r="K178" s="7">
        <f>'[3]Лист1'!K98</f>
        <v>10449870.8</v>
      </c>
      <c r="L178" s="7">
        <f>'[3]Лист1'!L98</f>
        <v>50000</v>
      </c>
      <c r="M178" s="7">
        <f>'[3]Лист1'!M98</f>
        <v>148226809.79</v>
      </c>
    </row>
    <row r="179" spans="2:13" ht="15">
      <c r="B179" t="s">
        <v>109</v>
      </c>
      <c r="C179" s="7">
        <f aca="true" t="shared" si="52" ref="C179:M179">C178-C136</f>
        <v>-80026.20000001788</v>
      </c>
      <c r="D179" s="7">
        <f t="shared" si="52"/>
        <v>-1493062</v>
      </c>
      <c r="E179" s="7">
        <f t="shared" si="52"/>
        <v>-459258.2400000002</v>
      </c>
      <c r="F179" s="7">
        <f t="shared" si="52"/>
        <v>-20662414.7</v>
      </c>
      <c r="G179" s="7">
        <f t="shared" si="52"/>
        <v>-15586034.280000001</v>
      </c>
      <c r="H179" s="7">
        <f t="shared" si="52"/>
        <v>0</v>
      </c>
      <c r="I179" s="7">
        <f t="shared" si="52"/>
        <v>0</v>
      </c>
      <c r="J179" s="7">
        <f t="shared" si="52"/>
        <v>-5076380.419999998</v>
      </c>
      <c r="K179" s="7">
        <f t="shared" si="52"/>
        <v>-3905756.999999998</v>
      </c>
      <c r="L179" s="7">
        <f t="shared" si="52"/>
        <v>31000</v>
      </c>
      <c r="M179" s="7">
        <f t="shared" si="52"/>
        <v>-20742440.900000006</v>
      </c>
    </row>
    <row r="180" spans="2:13" ht="15">
      <c r="B180" t="s">
        <v>110</v>
      </c>
      <c r="C180">
        <f>642019+533400+1253217+243240.41+870929</f>
        <v>3542805.41</v>
      </c>
      <c r="D180" s="45">
        <f>255400+98800+37142+362764+140334+52755+27002+27335+28746</f>
        <v>1030278</v>
      </c>
      <c r="E180" s="45"/>
      <c r="F180">
        <f>3450850.7+19688.68+1936000+840500</f>
        <v>6247039.380000001</v>
      </c>
      <c r="G180" s="46">
        <f>63595.75+1936000+269000+19688.68</f>
        <v>2288284.43</v>
      </c>
      <c r="J180">
        <f>2444422.8+375379.8+567452.35+571500</f>
        <v>3958754.9499999997</v>
      </c>
      <c r="K180">
        <f>2444422.8</f>
        <v>2444422.8</v>
      </c>
      <c r="M180">
        <f>F180+C180</f>
        <v>9789844.790000001</v>
      </c>
    </row>
    <row r="181" spans="2:13" ht="15">
      <c r="B181" t="s">
        <v>109</v>
      </c>
      <c r="C181" s="7">
        <f>C185+C180</f>
        <v>-80026.20000001416</v>
      </c>
      <c r="D181" s="7">
        <f>D185+D180</f>
        <v>-1493062</v>
      </c>
      <c r="E181" s="7">
        <f>E185+E180</f>
        <v>-459258.2400000002</v>
      </c>
      <c r="F181" s="7">
        <f>F185+F180</f>
        <v>-20662414.699999996</v>
      </c>
      <c r="G181" s="7">
        <f>G185+G180</f>
        <v>-15586034.280000001</v>
      </c>
      <c r="J181" s="7">
        <f>J185+J180</f>
        <v>-5076380.419999998</v>
      </c>
      <c r="K181" s="7">
        <f>K185+K180</f>
        <v>-3905756.999999999</v>
      </c>
      <c r="M181" s="7">
        <f>M185+M180</f>
        <v>-20742440.9</v>
      </c>
    </row>
    <row r="182" spans="2:13" ht="36.75" customHeight="1">
      <c r="B182" t="s">
        <v>127</v>
      </c>
      <c r="C182" s="7">
        <f>'[2]Лист1'!$C$107</f>
        <v>0</v>
      </c>
      <c r="D182" s="59" t="s">
        <v>130</v>
      </c>
      <c r="E182" s="59"/>
      <c r="F182" s="7">
        <f>'[2]Лист1'!$D$107</f>
        <v>0</v>
      </c>
      <c r="G182" s="59" t="s">
        <v>131</v>
      </c>
      <c r="H182" s="59"/>
      <c r="I182" s="60"/>
      <c r="K182" s="7">
        <f>'[2]Лист1'!$E$107</f>
        <v>0</v>
      </c>
      <c r="L182" s="63" t="s">
        <v>132</v>
      </c>
      <c r="M182" s="7">
        <f>'[2]Лист1'!$F$107</f>
        <v>0</v>
      </c>
    </row>
    <row r="183" spans="2:16" ht="15">
      <c r="B183" t="s">
        <v>109</v>
      </c>
      <c r="C183" s="7">
        <f>C182-C136</f>
        <v>-128058781.61000001</v>
      </c>
      <c r="F183" s="7">
        <f>F182-F136</f>
        <v>-40910469.08</v>
      </c>
      <c r="G183" s="60"/>
      <c r="H183" s="60"/>
      <c r="I183" s="60"/>
      <c r="K183" s="7">
        <f>K182-K136</f>
        <v>-14355627.799999999</v>
      </c>
      <c r="L183" s="63"/>
      <c r="M183" s="7">
        <f>M182-M136</f>
        <v>-168969250.69</v>
      </c>
      <c r="O183" s="7"/>
      <c r="P183" s="7"/>
    </row>
    <row r="184" spans="2:13" ht="15">
      <c r="B184" t="s">
        <v>128</v>
      </c>
      <c r="C184" s="7">
        <f>'[1]Лист1'!C96</f>
        <v>124435950</v>
      </c>
      <c r="D184" s="7">
        <f>'[1]Лист1'!D96</f>
        <v>36375856</v>
      </c>
      <c r="E184" s="7">
        <f>'[1]Лист1'!E96</f>
        <v>4301279</v>
      </c>
      <c r="F184" s="7">
        <f>'[1]Лист1'!F96</f>
        <v>14001015</v>
      </c>
      <c r="G184" s="7">
        <f>'[1]Лист1'!G96</f>
        <v>4399687</v>
      </c>
      <c r="H184" s="7">
        <f>'[1]Лист1'!H96</f>
        <v>646136</v>
      </c>
      <c r="I184" s="7">
        <f>'[1]Лист1'!I96</f>
        <v>126407</v>
      </c>
      <c r="J184" s="7">
        <f>'[1]Лист1'!J96</f>
        <v>9601328</v>
      </c>
      <c r="K184" s="7">
        <f>'[1]Лист1'!K96</f>
        <v>8005448</v>
      </c>
      <c r="L184" s="7">
        <f>'[1]Лист1'!L96</f>
        <v>50000</v>
      </c>
      <c r="M184" s="7">
        <f>'[1]Лист1'!M96</f>
        <v>138436965</v>
      </c>
    </row>
    <row r="185" spans="2:13" ht="15">
      <c r="B185" t="s">
        <v>109</v>
      </c>
      <c r="C185" s="7">
        <f aca="true" t="shared" si="53" ref="C185:M185">C184-C136</f>
        <v>-3622831.6100000143</v>
      </c>
      <c r="D185" s="7">
        <f t="shared" si="53"/>
        <v>-2523340</v>
      </c>
      <c r="E185" s="7">
        <f t="shared" si="53"/>
        <v>-459258.2400000002</v>
      </c>
      <c r="F185" s="7">
        <f t="shared" si="53"/>
        <v>-26909454.08</v>
      </c>
      <c r="G185" s="7">
        <f t="shared" si="53"/>
        <v>-17874318.71</v>
      </c>
      <c r="H185" s="7">
        <f t="shared" si="53"/>
        <v>0</v>
      </c>
      <c r="I185" s="7">
        <f t="shared" si="53"/>
        <v>0</v>
      </c>
      <c r="J185" s="7">
        <f t="shared" si="53"/>
        <v>-9035135.369999997</v>
      </c>
      <c r="K185" s="7">
        <f t="shared" si="53"/>
        <v>-6350179.799999999</v>
      </c>
      <c r="L185" s="7">
        <f t="shared" si="53"/>
        <v>31000</v>
      </c>
      <c r="M185" s="7">
        <f t="shared" si="53"/>
        <v>-30532285.689999998</v>
      </c>
    </row>
    <row r="186" ht="15">
      <c r="B186" t="s">
        <v>110</v>
      </c>
    </row>
    <row r="187" ht="15">
      <c r="B187" t="s">
        <v>119</v>
      </c>
    </row>
    <row r="188" ht="15">
      <c r="B188" t="s">
        <v>120</v>
      </c>
    </row>
    <row r="189" spans="2:5" ht="15">
      <c r="B189" t="s">
        <v>121</v>
      </c>
      <c r="C189">
        <f>C188+C187</f>
        <v>0</v>
      </c>
      <c r="E189">
        <f>E188+E187</f>
        <v>0</v>
      </c>
    </row>
    <row r="190" spans="2:5" ht="15">
      <c r="B190" t="s">
        <v>109</v>
      </c>
      <c r="C190" s="7">
        <f>C189-C129</f>
        <v>-249.26</v>
      </c>
      <c r="E190" s="7">
        <f>E189-E129</f>
        <v>0</v>
      </c>
    </row>
  </sheetData>
  <sheetProtection/>
  <mergeCells count="37">
    <mergeCell ref="K7:L7"/>
    <mergeCell ref="L182:L183"/>
    <mergeCell ref="G182:I183"/>
    <mergeCell ref="K8:K9"/>
    <mergeCell ref="H8:H9"/>
    <mergeCell ref="G158:I159"/>
    <mergeCell ref="J7:J9"/>
    <mergeCell ref="D164:E164"/>
    <mergeCell ref="G164:I165"/>
    <mergeCell ref="F7:F9"/>
    <mergeCell ref="D152:E152"/>
    <mergeCell ref="G152:I153"/>
    <mergeCell ref="G170:I171"/>
    <mergeCell ref="G146:I147"/>
    <mergeCell ref="D146:E146"/>
    <mergeCell ref="D140:E140"/>
    <mergeCell ref="G140:I141"/>
    <mergeCell ref="D182:E182"/>
    <mergeCell ref="I8:I9"/>
    <mergeCell ref="E8:E9"/>
    <mergeCell ref="G7:G9"/>
    <mergeCell ref="G176:I177"/>
    <mergeCell ref="D176:E176"/>
    <mergeCell ref="D7:E7"/>
    <mergeCell ref="D170:E170"/>
    <mergeCell ref="D158:E158"/>
    <mergeCell ref="D8:D9"/>
    <mergeCell ref="J2:M2"/>
    <mergeCell ref="A4:M4"/>
    <mergeCell ref="M6:M9"/>
    <mergeCell ref="A6:A9"/>
    <mergeCell ref="A3:M3"/>
    <mergeCell ref="C6:E6"/>
    <mergeCell ref="B6:B9"/>
    <mergeCell ref="F6:L6"/>
    <mergeCell ref="C7:C9"/>
    <mergeCell ref="H7:I7"/>
  </mergeCells>
  <printOptions/>
  <pageMargins left="0.1968503937007874" right="0.1968503937007874" top="0.6692913385826772" bottom="0.6692913385826772" header="0" footer="0"/>
  <pageSetup horizontalDpi="600" verticalDpi="600" orientation="landscape" paperSize="9" scale="7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1</cp:lastModifiedBy>
  <cp:lastPrinted>2015-01-12T17:20:17Z</cp:lastPrinted>
  <dcterms:created xsi:type="dcterms:W3CDTF">2010-04-28T10:23:51Z</dcterms:created>
  <dcterms:modified xsi:type="dcterms:W3CDTF">2015-01-12T17:20:47Z</dcterms:modified>
  <cp:category/>
  <cp:version/>
  <cp:contentType/>
  <cp:contentStatus/>
</cp:coreProperties>
</file>