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2120" windowHeight="8880" activeTab="0"/>
  </bookViews>
  <sheets>
    <sheet name="Лист1" sheetId="1" r:id="rId1"/>
  </sheets>
  <definedNames>
    <definedName name="_xlnm.Print_Titles" localSheetId="0">'Лист1'!$6:$9</definedName>
    <definedName name="_xlnm.Print_Area" localSheetId="0">'Лист1'!$A$1:$M$102</definedName>
  </definedNames>
  <calcPr fullCalcOnLoad="1"/>
</workbook>
</file>

<file path=xl/sharedStrings.xml><?xml version="1.0" encoding="utf-8"?>
<sst xmlns="http://schemas.openxmlformats.org/spreadsheetml/2006/main" count="116" uniqueCount="110">
  <si>
    <t>Додаток 2</t>
  </si>
  <si>
    <t>грн.</t>
  </si>
  <si>
    <t>Код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</si>
  <si>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</si>
  <si>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</si>
  <si>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</si>
  <si>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</si>
  <si>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</si>
  <si>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</si>
  <si>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</si>
  <si>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</si>
  <si>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</si>
  <si>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</si>
  <si>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</si>
  <si>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</si>
  <si>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</si>
  <si>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</si>
  <si>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</si>
  <si>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</si>
  <si>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</si>
  <si>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</si>
  <si>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</si>
  <si>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</si>
  <si>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</si>
  <si>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</si>
  <si>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</si>
  <si>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</si>
  <si>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</si>
  <si>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</si>
  <si>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</si>
  <si>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</si>
  <si>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</si>
  <si>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</si>
  <si>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</si>
  <si>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</si>
  <si>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</si>
  <si>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</si>
  <si>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</si>
  <si>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</si>
  <si>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</si>
  <si>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</si>
  <si>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</si>
  <si>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</si>
  <si>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</si>
  <si>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</si>
  <si>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</si>
  <si>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</si>
  <si>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</si>
  <si>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</si>
  <si>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</si>
  <si>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</si>
  <si>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</si>
  <si>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</si>
  <si>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</si>
  <si>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</si>
  <si>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</si>
  <si>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</si>
  <si>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</si>
  <si>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</si>
  <si>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</si>
  <si>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</si>
  <si>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</si>
  <si>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</si>
  <si>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</si>
  <si>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</si>
  <si>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</si>
  <si>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</si>
  <si>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</si>
  <si>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</si>
  <si>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</si>
  <si>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</si>
  <si>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</si>
  <si>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</si>
  <si>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</si>
  <si>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</si>
  <si>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</si>
  <si>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</si>
  <si>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</si>
  <si>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</si>
  <si>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</si>
  <si>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</si>
  <si>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</si>
  <si>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</si>
  <si>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</si>
  <si>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Центри соціальної реабілітації дітей - інвалідів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</si>
  <si>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</si>
  <si>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</si>
  <si>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</si>
  <si>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</si>
  <si>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</si>
  <si>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Територiальнi центри  соцiального обслуговування (надання соціальних послуг)</t>
  </si>
  <si>
    <t>Найменуваннякоду тимчасової класифікації видатків та кредитування місцевих бюджетів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</si>
  <si>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</si>
  <si>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Видатки на покриття інших заборгованостей, що виникли в попередні роки</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</si>
  <si>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</si>
  <si>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</si>
  <si>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</si>
  <si>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</si>
  <si>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Заходи у сфері захисту населення і територій від надзвичайних ситуацій техногенного та природного характеру</t>
  </si>
  <si>
    <t>Капітальний ремонт житлового фонду місцевих органів влади</t>
  </si>
  <si>
    <t>Видатки на проведення робіт, пов`язаних з будiвництвом, реконструкцiєю, ремонтом i утриманням автомобiльних дорiг- субвенція з державного бюджету</t>
  </si>
  <si>
    <t>Видатки на проведення робіт, пов`язаних з будiвництвом, реконструкцiєю, ремонтом i утриманням автомобiльних дорiг- субвенція з обласного бюджету</t>
  </si>
  <si>
    <t>Видатки бюджету міста Старокостянтинова на 2014 рік</t>
  </si>
  <si>
    <t>Коменсаційні виплати на пільговий проїзд автомобільним транспортом окремим категоріям громадян</t>
  </si>
  <si>
    <t>Інші заходи у сфері автомобільного транспорту</t>
  </si>
  <si>
    <t>Видатки на запобігання та ліквідацію надзвичайних ситуацій та наслідків стихійного лиха</t>
  </si>
  <si>
    <t>Субвенція з місцевого бюджету державному бюджету на виконання програм соціально-економічного та культурного розвитку районів</t>
  </si>
  <si>
    <t>Погашення заборгованості з різниці в тарифах на теплову енергію, послуги з центрального водопостачання та  водовідведення, що випробллялсия, транспортувалися та постачалися населенню, яка виникла у зв"язку з невідповідністю фактичної вартості</t>
  </si>
  <si>
    <t xml:space="preserve">Компенсація населенню додаткових витрат на оплату послуг газопостачання, центрального опалення та централізованого постачання гарячої води» </t>
  </si>
  <si>
    <t>до  рішення 42 сесії міської ради від 10.09.2014р. № 6 "Про внесення змін до бюджету міста на 2014 рік"</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</si>
</sst>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26">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b/>
      <sz val="11"/>
      <name val="Arial"/>
      <family val="2"/>
    </font>
    <font>
      <sz val="11"/>
      <name val="Arial"/>
      <family val="2"/>
    </font>
    <font>
      <sz val="11"/>
      <color indexed="10"/>
      <name val="Calibri"/>
      <family val="2"/>
    </font>
    <font>
      <sz val="11"/>
      <color indexed="10"/>
      <name val="Arial"/>
      <family val="2"/>
    </font>
    <font>
      <sz val="11"/>
      <name val="Calibri"/>
      <family val="2"/>
    </font>
    <font>
      <u val="single"/>
      <sz val="7.8"/>
      <color indexed="12"/>
      <name val="Calibri"/>
      <family val="2"/>
    </font>
    <font>
      <u val="single"/>
      <sz val="7.8"/>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11"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cellStyleXfs>
  <cellXfs count="56">
    <xf numFmtId="0" fontId="0" fillId="0" borderId="0" xfId="0" applyAlignment="1">
      <alignment/>
    </xf>
    <xf numFmtId="0" fontId="1" fillId="0" borderId="0" xfId="0" applyFont="1" applyAlignment="1">
      <alignment horizontal="left"/>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0" fillId="0" borderId="0" xfId="0" applyNumberFormat="1" applyAlignment="1">
      <alignment/>
    </xf>
    <xf numFmtId="0" fontId="3" fillId="0" borderId="10" xfId="0" applyFont="1" applyBorder="1" applyAlignment="1">
      <alignment vertical="top" wrapText="1"/>
    </xf>
    <xf numFmtId="2" fontId="3" fillId="0" borderId="10" xfId="0" applyNumberFormat="1" applyFont="1" applyFill="1" applyBorder="1" applyAlignment="1">
      <alignment horizontal="right" vertical="center"/>
    </xf>
    <xf numFmtId="0" fontId="2" fillId="0" borderId="10" xfId="0" applyFont="1" applyFill="1" applyBorder="1" applyAlignment="1">
      <alignment vertical="top" wrapText="1"/>
    </xf>
    <xf numFmtId="2" fontId="8" fillId="0" borderId="10" xfId="0" applyNumberFormat="1" applyFont="1" applyFill="1" applyBorder="1" applyAlignment="1">
      <alignment horizontal="center" vertical="center"/>
    </xf>
    <xf numFmtId="0" fontId="7" fillId="0" borderId="0" xfId="0" applyFont="1" applyAlignment="1">
      <alignment/>
    </xf>
    <xf numFmtId="0" fontId="6" fillId="0" borderId="10" xfId="0" applyFont="1" applyFill="1" applyBorder="1" applyAlignment="1">
      <alignment vertical="top" wrapText="1"/>
    </xf>
    <xf numFmtId="0" fontId="6" fillId="0" borderId="10" xfId="0" applyFont="1" applyFill="1" applyBorder="1" applyAlignment="1">
      <alignment vertical="center"/>
    </xf>
    <xf numFmtId="2" fontId="6" fillId="0" borderId="10" xfId="0" applyNumberFormat="1" applyFont="1" applyFill="1" applyBorder="1" applyAlignment="1">
      <alignment horizontal="center" vertical="center"/>
    </xf>
    <xf numFmtId="0" fontId="9" fillId="0" borderId="0" xfId="0" applyFont="1" applyAlignment="1">
      <alignment/>
    </xf>
    <xf numFmtId="2" fontId="3" fillId="0" borderId="10" xfId="0" applyNumberFormat="1" applyFont="1" applyFill="1" applyBorder="1" applyAlignment="1">
      <alignment horizontal="center" vertical="top"/>
    </xf>
    <xf numFmtId="0" fontId="5" fillId="0" borderId="10" xfId="0" applyFont="1" applyFill="1" applyBorder="1" applyAlignment="1">
      <alignment vertical="center"/>
    </xf>
    <xf numFmtId="0" fontId="5" fillId="0" borderId="10" xfId="0" applyFont="1" applyFill="1" applyBorder="1" applyAlignment="1">
      <alignment vertical="top" wrapText="1"/>
    </xf>
    <xf numFmtId="2" fontId="5" fillId="0" borderId="10" xfId="0" applyNumberFormat="1" applyFont="1" applyFill="1" applyBorder="1" applyAlignment="1">
      <alignment horizontal="center" vertical="center"/>
    </xf>
    <xf numFmtId="2" fontId="2" fillId="0" borderId="10" xfId="0" applyNumberFormat="1" applyFont="1" applyFill="1" applyBorder="1" applyAlignment="1">
      <alignment horizontal="right" vertical="top"/>
    </xf>
    <xf numFmtId="0" fontId="3" fillId="0" borderId="11" xfId="0" applyFont="1" applyFill="1" applyBorder="1" applyAlignment="1">
      <alignment vertical="center"/>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Alignment="1">
      <alignment vertical="top" wrapText="1"/>
    </xf>
    <xf numFmtId="0" fontId="3" fillId="0" borderId="12" xfId="0" applyFont="1" applyFill="1" applyBorder="1" applyAlignment="1">
      <alignment horizontal="left" vertical="center" wrapText="1"/>
    </xf>
    <xf numFmtId="0" fontId="0" fillId="0" borderId="0" xfId="0" applyAlignment="1">
      <alignment vertical="top" wrapText="1"/>
    </xf>
    <xf numFmtId="0" fontId="6" fillId="0" borderId="10" xfId="0" applyFont="1" applyBorder="1" applyAlignment="1">
      <alignment horizontal="center" vertical="top"/>
    </xf>
    <xf numFmtId="0" fontId="6" fillId="0" borderId="10" xfId="0" applyFont="1" applyBorder="1" applyAlignment="1">
      <alignment vertical="top" wrapText="1"/>
    </xf>
    <xf numFmtId="2" fontId="6" fillId="0" borderId="10" xfId="0" applyNumberFormat="1" applyFont="1" applyBorder="1" applyAlignment="1">
      <alignment horizontal="center" vertical="top" wrapText="1"/>
    </xf>
    <xf numFmtId="49" fontId="3" fillId="0" borderId="0" xfId="0" applyNumberFormat="1" applyFont="1" applyAlignment="1">
      <alignment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12" xfId="0" applyFont="1" applyBorder="1" applyAlignment="1">
      <alignment horizontal="center" vertical="center"/>
    </xf>
    <xf numFmtId="0" fontId="0" fillId="0" borderId="0" xfId="0"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3"/>
  <sheetViews>
    <sheetView tabSelected="1" zoomScale="75" zoomScaleNormal="75" zoomScalePageLayoutView="0" workbookViewId="0" topLeftCell="A1">
      <pane xSplit="2" ySplit="10" topLeftCell="C96" activePane="bottomRight" state="frozen"/>
      <selection pane="topLeft" activeCell="A1" sqref="A1"/>
      <selection pane="topRight" activeCell="C1" sqref="C1"/>
      <selection pane="bottomLeft" activeCell="A14" sqref="A14"/>
      <selection pane="bottomRight" activeCell="L9" sqref="L9"/>
    </sheetView>
  </sheetViews>
  <sheetFormatPr defaultColWidth="9.140625" defaultRowHeight="15"/>
  <cols>
    <col min="1" max="1" width="9.28125" style="0" bestFit="1" customWidth="1"/>
    <col min="2" max="2" width="36.8515625" style="0" customWidth="1"/>
    <col min="3" max="3" width="17.28125" style="0" bestFit="1" customWidth="1"/>
    <col min="4" max="4" width="14.28125" style="0" bestFit="1" customWidth="1"/>
    <col min="5" max="5" width="13.57421875" style="0" customWidth="1"/>
    <col min="6" max="6" width="14.140625" style="0" customWidth="1"/>
    <col min="7" max="7" width="14.7109375" style="0" customWidth="1"/>
    <col min="8" max="8" width="13.140625" style="0" customWidth="1"/>
    <col min="9" max="9" width="11.8515625" style="0" customWidth="1"/>
    <col min="10" max="10" width="14.140625" style="0" customWidth="1"/>
    <col min="11" max="11" width="13.28125" style="0" bestFit="1" customWidth="1"/>
    <col min="12" max="12" width="15.8515625" style="0" bestFit="1" customWidth="1"/>
    <col min="13" max="13" width="15.421875" style="0" bestFit="1" customWidth="1"/>
    <col min="14" max="14" width="5.8515625" style="0"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47" t="s">
        <v>109</v>
      </c>
      <c r="K2" s="47"/>
      <c r="L2" s="47"/>
      <c r="M2" s="48"/>
    </row>
    <row r="3" spans="1:13" ht="15">
      <c r="A3" s="49" t="s">
        <v>102</v>
      </c>
      <c r="B3" s="50"/>
      <c r="C3" s="50"/>
      <c r="D3" s="50"/>
      <c r="E3" s="50"/>
      <c r="F3" s="50"/>
      <c r="G3" s="50"/>
      <c r="H3" s="50"/>
      <c r="I3" s="50"/>
      <c r="J3" s="50"/>
      <c r="K3" s="50"/>
      <c r="L3" s="50"/>
      <c r="M3" s="50"/>
    </row>
    <row r="4" spans="1:13" ht="18" customHeight="1">
      <c r="A4" s="49" t="s">
        <v>74</v>
      </c>
      <c r="B4" s="50"/>
      <c r="C4" s="50"/>
      <c r="D4" s="50"/>
      <c r="E4" s="50"/>
      <c r="F4" s="50"/>
      <c r="G4" s="50"/>
      <c r="H4" s="50"/>
      <c r="I4" s="50"/>
      <c r="J4" s="50"/>
      <c r="K4" s="50"/>
      <c r="L4" s="50"/>
      <c r="M4" s="50"/>
    </row>
    <row r="5" spans="1:13" ht="15">
      <c r="A5" s="4"/>
      <c r="B5" s="4"/>
      <c r="C5" s="4"/>
      <c r="D5" s="4"/>
      <c r="E5" s="4"/>
      <c r="F5" s="4"/>
      <c r="G5" s="4"/>
      <c r="H5" s="4"/>
      <c r="I5" s="4"/>
      <c r="J5" s="4"/>
      <c r="K5" s="4"/>
      <c r="L5" s="4"/>
      <c r="M5" s="5" t="s">
        <v>1</v>
      </c>
    </row>
    <row r="6" spans="1:13" ht="15">
      <c r="A6" s="43" t="s">
        <v>2</v>
      </c>
      <c r="B6" s="43" t="s">
        <v>91</v>
      </c>
      <c r="C6" s="42" t="s">
        <v>3</v>
      </c>
      <c r="D6" s="42"/>
      <c r="E6" s="42"/>
      <c r="F6" s="42" t="s">
        <v>10</v>
      </c>
      <c r="G6" s="42"/>
      <c r="H6" s="42"/>
      <c r="I6" s="42"/>
      <c r="J6" s="42"/>
      <c r="K6" s="42"/>
      <c r="L6" s="42"/>
      <c r="M6" s="42" t="s">
        <v>11</v>
      </c>
    </row>
    <row r="7" spans="1:13" ht="15">
      <c r="A7" s="43"/>
      <c r="B7" s="43"/>
      <c r="C7" s="43" t="s">
        <v>4</v>
      </c>
      <c r="D7" s="46" t="s">
        <v>6</v>
      </c>
      <c r="E7" s="46"/>
      <c r="F7" s="43" t="s">
        <v>4</v>
      </c>
      <c r="G7" s="46" t="s">
        <v>5</v>
      </c>
      <c r="H7" s="46" t="s">
        <v>6</v>
      </c>
      <c r="I7" s="46"/>
      <c r="J7" s="46" t="s">
        <v>9</v>
      </c>
      <c r="K7" s="51" t="s">
        <v>6</v>
      </c>
      <c r="L7" s="52"/>
      <c r="M7" s="42"/>
    </row>
    <row r="8" spans="1:13" ht="25.5" customHeight="1">
      <c r="A8" s="43"/>
      <c r="B8" s="43"/>
      <c r="C8" s="43"/>
      <c r="D8" s="44" t="s">
        <v>7</v>
      </c>
      <c r="E8" s="44" t="s">
        <v>8</v>
      </c>
      <c r="F8" s="43"/>
      <c r="G8" s="46"/>
      <c r="H8" s="44" t="s">
        <v>7</v>
      </c>
      <c r="I8" s="44" t="s">
        <v>8</v>
      </c>
      <c r="J8" s="46"/>
      <c r="K8" s="44" t="s">
        <v>72</v>
      </c>
      <c r="L8" s="7" t="s">
        <v>6</v>
      </c>
      <c r="M8" s="42"/>
    </row>
    <row r="9" spans="1:13" ht="148.5" customHeight="1">
      <c r="A9" s="43"/>
      <c r="B9" s="43"/>
      <c r="C9" s="43"/>
      <c r="D9" s="45"/>
      <c r="E9" s="45"/>
      <c r="F9" s="43"/>
      <c r="G9" s="46"/>
      <c r="H9" s="45"/>
      <c r="I9" s="45"/>
      <c r="J9" s="46"/>
      <c r="K9" s="45"/>
      <c r="L9" s="7" t="s">
        <v>73</v>
      </c>
      <c r="M9" s="42"/>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18" t="s">
        <v>12</v>
      </c>
      <c r="C11" s="13">
        <f aca="true" t="shared" si="0" ref="C11:L11">C12</f>
        <v>6749798.93</v>
      </c>
      <c r="D11" s="13">
        <f t="shared" si="0"/>
        <v>4540282</v>
      </c>
      <c r="E11" s="13">
        <f t="shared" si="0"/>
        <v>207805</v>
      </c>
      <c r="F11" s="13">
        <f t="shared" si="0"/>
        <v>973408</v>
      </c>
      <c r="G11" s="13">
        <f t="shared" si="0"/>
        <v>26400</v>
      </c>
      <c r="H11" s="13">
        <f t="shared" si="0"/>
        <v>0</v>
      </c>
      <c r="I11" s="13">
        <f>I12</f>
        <v>2000</v>
      </c>
      <c r="J11" s="13">
        <f t="shared" si="0"/>
        <v>947008</v>
      </c>
      <c r="K11" s="13">
        <f t="shared" si="0"/>
        <v>947008</v>
      </c>
      <c r="L11" s="13">
        <f t="shared" si="0"/>
        <v>0</v>
      </c>
      <c r="M11" s="13">
        <f aca="true" t="shared" si="1" ref="M11:M40">C11+F11</f>
        <v>7723206.93</v>
      </c>
    </row>
    <row r="12" spans="1:13" ht="15">
      <c r="A12" s="10">
        <v>10116</v>
      </c>
      <c r="B12" s="12" t="s">
        <v>13</v>
      </c>
      <c r="C12" s="14">
        <f>4627611.93+533400+757687+205000-91900+718000</f>
        <v>6749798.93</v>
      </c>
      <c r="D12" s="14">
        <f>2932577+255400+98800+37142+362764+140334+52755+150400-17000-6400+60+450+533000</f>
        <v>4540282</v>
      </c>
      <c r="E12" s="14">
        <f>202805+5000</f>
        <v>207805</v>
      </c>
      <c r="F12" s="14">
        <f>G12+J12</f>
        <v>973408</v>
      </c>
      <c r="G12" s="14">
        <f>26400</f>
        <v>26400</v>
      </c>
      <c r="H12" s="14"/>
      <c r="I12" s="14">
        <f>2000</f>
        <v>2000</v>
      </c>
      <c r="J12" s="31">
        <f>146400+162000+300000+1480000+155100-500000+187958-4450-480000-100000+100000-500000</f>
        <v>947008</v>
      </c>
      <c r="K12" s="31">
        <f>146400+162000+300000+1480000+155100-500000+187958-4450-480000-100000+100000-500000</f>
        <v>947008</v>
      </c>
      <c r="L12" s="14"/>
      <c r="M12" s="14">
        <f t="shared" si="1"/>
        <v>7723206.93</v>
      </c>
    </row>
    <row r="13" spans="1:13" ht="15">
      <c r="A13" s="8">
        <v>70000</v>
      </c>
      <c r="B13" s="18" t="s">
        <v>14</v>
      </c>
      <c r="C13" s="13">
        <f>SUM(C14:C21)</f>
        <v>45120838</v>
      </c>
      <c r="D13" s="13">
        <f>SUM(D14:D21)</f>
        <v>27891198</v>
      </c>
      <c r="E13" s="13">
        <f>SUM(E14:E21)</f>
        <v>3803089</v>
      </c>
      <c r="F13" s="13">
        <f>G13+J13</f>
        <v>3317945</v>
      </c>
      <c r="G13" s="13">
        <f aca="true" t="shared" si="2" ref="G13:L13">SUM(G14:G21)</f>
        <v>2284437</v>
      </c>
      <c r="H13" s="13">
        <f t="shared" si="2"/>
        <v>488580</v>
      </c>
      <c r="I13" s="13">
        <f t="shared" si="2"/>
        <v>116397</v>
      </c>
      <c r="J13" s="13">
        <f t="shared" si="2"/>
        <v>1033508</v>
      </c>
      <c r="K13" s="13">
        <f t="shared" si="2"/>
        <v>992528</v>
      </c>
      <c r="L13" s="13">
        <f t="shared" si="2"/>
        <v>0</v>
      </c>
      <c r="M13" s="13">
        <f t="shared" si="1"/>
        <v>48438783</v>
      </c>
    </row>
    <row r="14" spans="1:13" ht="15">
      <c r="A14" s="10">
        <v>70101</v>
      </c>
      <c r="B14" s="12" t="s">
        <v>15</v>
      </c>
      <c r="C14" s="14">
        <f>14451378+1-627453+408000+71138.5</f>
        <v>14303064.5</v>
      </c>
      <c r="D14" s="14">
        <f>8259482+5135-252974+300000</f>
        <v>8311643</v>
      </c>
      <c r="E14" s="14">
        <f>1667795+1</f>
        <v>1667796</v>
      </c>
      <c r="F14" s="14">
        <f aca="true" t="shared" si="3" ref="F14:F75">G14+J14</f>
        <v>1496766</v>
      </c>
      <c r="G14" s="17">
        <f>1261018</f>
        <v>1261018</v>
      </c>
      <c r="H14" s="17">
        <f>57312</f>
        <v>57312</v>
      </c>
      <c r="I14" s="17"/>
      <c r="J14" s="14">
        <f>13720+32028+190000</f>
        <v>235748</v>
      </c>
      <c r="K14" s="14">
        <f>32028+190000</f>
        <v>222028</v>
      </c>
      <c r="L14" s="14"/>
      <c r="M14" s="14">
        <f t="shared" si="1"/>
        <v>15799830.5</v>
      </c>
    </row>
    <row r="15" spans="1:13" ht="57">
      <c r="A15" s="10">
        <v>70201</v>
      </c>
      <c r="B15" s="12" t="s">
        <v>16</v>
      </c>
      <c r="C15" s="14">
        <f>26908277+642019-1165264-642019+801600-50000</f>
        <v>26494613</v>
      </c>
      <c r="D15" s="14">
        <f>16948085-605121+588600</f>
        <v>16931564</v>
      </c>
      <c r="E15" s="14">
        <f>2033077</f>
        <v>2033077</v>
      </c>
      <c r="F15" s="14">
        <f t="shared" si="3"/>
        <v>1155500</v>
      </c>
      <c r="G15" s="14">
        <f>361045</f>
        <v>361045</v>
      </c>
      <c r="H15" s="14">
        <f>50430</f>
        <v>50430</v>
      </c>
      <c r="I15" s="14">
        <f>106874</f>
        <v>106874</v>
      </c>
      <c r="J15" s="14">
        <f>23955+550500+220000</f>
        <v>794455</v>
      </c>
      <c r="K15" s="14">
        <f>550500+220000</f>
        <v>770500</v>
      </c>
      <c r="L15" s="14"/>
      <c r="M15" s="14">
        <f t="shared" si="1"/>
        <v>27650113</v>
      </c>
    </row>
    <row r="16" spans="1:14" ht="28.5">
      <c r="A16" s="10">
        <v>70303</v>
      </c>
      <c r="B16" s="12" t="s">
        <v>52</v>
      </c>
      <c r="C16" s="14">
        <f>345131+72588-21189</f>
        <v>396530</v>
      </c>
      <c r="D16" s="14"/>
      <c r="E16" s="14"/>
      <c r="F16" s="14">
        <f t="shared" si="3"/>
        <v>0</v>
      </c>
      <c r="G16" s="14"/>
      <c r="H16" s="14"/>
      <c r="I16" s="14"/>
      <c r="J16" s="14"/>
      <c r="K16" s="14"/>
      <c r="L16" s="14"/>
      <c r="M16" s="14">
        <f t="shared" si="1"/>
        <v>396530</v>
      </c>
      <c r="N16" s="15"/>
    </row>
    <row r="17" spans="1:13" ht="28.5">
      <c r="A17" s="10">
        <v>70401</v>
      </c>
      <c r="B17" s="12" t="s">
        <v>17</v>
      </c>
      <c r="C17" s="14">
        <f>1458250-63634+30000-14738.5</f>
        <v>1409877.5</v>
      </c>
      <c r="D17" s="14">
        <f>963649-46754+22000</f>
        <v>938895</v>
      </c>
      <c r="E17" s="14">
        <f>1284</f>
        <v>1284</v>
      </c>
      <c r="F17" s="14">
        <f t="shared" si="3"/>
        <v>0</v>
      </c>
      <c r="G17" s="14"/>
      <c r="H17" s="14"/>
      <c r="I17" s="14"/>
      <c r="J17" s="14"/>
      <c r="K17" s="14"/>
      <c r="L17" s="14"/>
      <c r="M17" s="14">
        <f t="shared" si="1"/>
        <v>1409877.5</v>
      </c>
    </row>
    <row r="18" spans="1:13" ht="28.5">
      <c r="A18" s="10">
        <v>70802</v>
      </c>
      <c r="B18" s="12" t="s">
        <v>18</v>
      </c>
      <c r="C18" s="14">
        <f>623177-32028+10000</f>
        <v>601149</v>
      </c>
      <c r="D18" s="14">
        <f>429729-23479+7300</f>
        <v>413550</v>
      </c>
      <c r="E18" s="14">
        <f>12860</f>
        <v>12860</v>
      </c>
      <c r="F18" s="14">
        <f t="shared" si="3"/>
        <v>0</v>
      </c>
      <c r="G18" s="14"/>
      <c r="H18" s="14"/>
      <c r="I18" s="14"/>
      <c r="J18" s="14"/>
      <c r="K18" s="14"/>
      <c r="L18" s="14"/>
      <c r="M18" s="14">
        <f t="shared" si="1"/>
        <v>601149</v>
      </c>
    </row>
    <row r="19" spans="1:13" ht="42.75">
      <c r="A19" s="10">
        <v>70804</v>
      </c>
      <c r="B19" s="12" t="s">
        <v>19</v>
      </c>
      <c r="C19" s="14">
        <f>1028884-50840+47000</f>
        <v>1025044</v>
      </c>
      <c r="D19" s="14">
        <f>708879-37303+35000</f>
        <v>706576</v>
      </c>
      <c r="E19" s="14">
        <f>18404</f>
        <v>18404</v>
      </c>
      <c r="F19" s="14">
        <f t="shared" si="3"/>
        <v>0</v>
      </c>
      <c r="G19" s="14"/>
      <c r="H19" s="14"/>
      <c r="I19" s="14"/>
      <c r="J19" s="14"/>
      <c r="K19" s="14"/>
      <c r="L19" s="14"/>
      <c r="M19" s="14">
        <f t="shared" si="1"/>
        <v>1025044</v>
      </c>
    </row>
    <row r="20" spans="1:13" ht="15">
      <c r="A20" s="10">
        <v>70806</v>
      </c>
      <c r="B20" s="12" t="s">
        <v>20</v>
      </c>
      <c r="C20" s="14">
        <f>888941-46481+30000</f>
        <v>872460</v>
      </c>
      <c r="D20" s="14">
        <f>601375-34405+22000</f>
        <v>588970</v>
      </c>
      <c r="E20" s="14">
        <f>69668</f>
        <v>69668</v>
      </c>
      <c r="F20" s="14">
        <f t="shared" si="3"/>
        <v>665679</v>
      </c>
      <c r="G20" s="14">
        <f>662374</f>
        <v>662374</v>
      </c>
      <c r="H20" s="14">
        <f>380838</f>
        <v>380838</v>
      </c>
      <c r="I20" s="14">
        <f>9523</f>
        <v>9523</v>
      </c>
      <c r="J20" s="14">
        <f>3305</f>
        <v>3305</v>
      </c>
      <c r="K20" s="14"/>
      <c r="L20" s="14"/>
      <c r="M20" s="14">
        <f t="shared" si="1"/>
        <v>1538139</v>
      </c>
    </row>
    <row r="21" spans="1:13" ht="57">
      <c r="A21" s="10">
        <v>70808</v>
      </c>
      <c r="B21" s="12" t="s">
        <v>21</v>
      </c>
      <c r="C21" s="14">
        <f>18100</f>
        <v>18100</v>
      </c>
      <c r="D21" s="14"/>
      <c r="E21" s="14"/>
      <c r="F21" s="14">
        <f t="shared" si="3"/>
        <v>0</v>
      </c>
      <c r="G21" s="14"/>
      <c r="H21" s="14"/>
      <c r="I21" s="14"/>
      <c r="J21" s="14"/>
      <c r="K21" s="14"/>
      <c r="L21" s="14"/>
      <c r="M21" s="14">
        <f t="shared" si="1"/>
        <v>18100</v>
      </c>
    </row>
    <row r="22" spans="1:13" ht="30">
      <c r="A22" s="8">
        <v>90000</v>
      </c>
      <c r="B22" s="18" t="s">
        <v>22</v>
      </c>
      <c r="C22" s="13">
        <f>SUM(C23:C58)</f>
        <v>63197843.980000004</v>
      </c>
      <c r="D22" s="13">
        <f>SUM(D23:D58)</f>
        <v>2150562</v>
      </c>
      <c r="E22" s="13">
        <f>SUM(E23:E58)</f>
        <v>82689</v>
      </c>
      <c r="F22" s="13">
        <f>G22+J22</f>
        <v>530470</v>
      </c>
      <c r="G22" s="13">
        <f aca="true" t="shared" si="4" ref="G22:L22">SUM(G23:G58)</f>
        <v>45600</v>
      </c>
      <c r="H22" s="13">
        <f t="shared" si="4"/>
        <v>14940</v>
      </c>
      <c r="I22" s="13">
        <f t="shared" si="4"/>
        <v>0</v>
      </c>
      <c r="J22" s="13">
        <f t="shared" si="4"/>
        <v>484870</v>
      </c>
      <c r="K22" s="13">
        <f t="shared" si="4"/>
        <v>480470</v>
      </c>
      <c r="L22" s="13">
        <f t="shared" si="4"/>
        <v>50000</v>
      </c>
      <c r="M22" s="13">
        <f t="shared" si="1"/>
        <v>63728313.980000004</v>
      </c>
    </row>
    <row r="23" spans="1:14" ht="127.5" customHeight="1">
      <c r="A23" s="10">
        <v>90201</v>
      </c>
      <c r="B23" s="12" t="s">
        <v>77</v>
      </c>
      <c r="C23" s="14">
        <f>4000000+965900-50000</f>
        <v>4915900</v>
      </c>
      <c r="D23" s="14"/>
      <c r="E23" s="14"/>
      <c r="F23" s="14">
        <f t="shared" si="3"/>
        <v>0</v>
      </c>
      <c r="G23" s="14"/>
      <c r="H23" s="14"/>
      <c r="I23" s="14"/>
      <c r="J23" s="14"/>
      <c r="K23" s="14"/>
      <c r="L23" s="14"/>
      <c r="M23" s="14">
        <f t="shared" si="1"/>
        <v>4915900</v>
      </c>
      <c r="N23" s="3"/>
    </row>
    <row r="24" spans="1:14" ht="113.25" customHeight="1">
      <c r="A24" s="10">
        <v>90202</v>
      </c>
      <c r="B24" s="12" t="s">
        <v>78</v>
      </c>
      <c r="C24" s="14">
        <f>3000</f>
        <v>3000</v>
      </c>
      <c r="D24" s="14"/>
      <c r="E24" s="14"/>
      <c r="F24" s="14">
        <f t="shared" si="3"/>
        <v>0</v>
      </c>
      <c r="G24" s="14"/>
      <c r="H24" s="14"/>
      <c r="I24" s="14"/>
      <c r="J24" s="14"/>
      <c r="K24" s="14"/>
      <c r="L24" s="14"/>
      <c r="M24" s="14">
        <f t="shared" si="1"/>
        <v>3000</v>
      </c>
      <c r="N24" s="3"/>
    </row>
    <row r="25" spans="1:14" ht="105.75" customHeight="1">
      <c r="A25" s="10">
        <v>90203</v>
      </c>
      <c r="B25" s="12" t="s">
        <v>79</v>
      </c>
      <c r="C25" s="14">
        <f>89450</f>
        <v>89450</v>
      </c>
      <c r="D25" s="17"/>
      <c r="E25" s="17"/>
      <c r="F25" s="14">
        <f t="shared" si="3"/>
        <v>50000</v>
      </c>
      <c r="G25" s="17"/>
      <c r="H25" s="17"/>
      <c r="I25" s="17"/>
      <c r="J25" s="17">
        <f>50000</f>
        <v>50000</v>
      </c>
      <c r="K25" s="17">
        <f>50000</f>
        <v>50000</v>
      </c>
      <c r="L25" s="17">
        <f>50000</f>
        <v>50000</v>
      </c>
      <c r="M25" s="14">
        <f t="shared" si="1"/>
        <v>139450</v>
      </c>
      <c r="N25" s="3"/>
    </row>
    <row r="26" spans="1:14" ht="133.5" customHeight="1">
      <c r="A26" s="10">
        <v>90204</v>
      </c>
      <c r="B26" s="12" t="s">
        <v>80</v>
      </c>
      <c r="C26" s="14">
        <f>1617000+509000-100000</f>
        <v>2026000</v>
      </c>
      <c r="D26" s="14"/>
      <c r="E26" s="14"/>
      <c r="F26" s="14">
        <f t="shared" si="3"/>
        <v>0</v>
      </c>
      <c r="G26" s="14"/>
      <c r="H26" s="14"/>
      <c r="I26" s="14"/>
      <c r="J26" s="14"/>
      <c r="K26" s="14"/>
      <c r="L26" s="14"/>
      <c r="M26" s="14">
        <f t="shared" si="1"/>
        <v>2026000</v>
      </c>
      <c r="N26" s="3"/>
    </row>
    <row r="27" spans="1:14" ht="63.75" customHeight="1">
      <c r="A27" s="10">
        <v>90207</v>
      </c>
      <c r="B27" s="12" t="s">
        <v>54</v>
      </c>
      <c r="C27" s="14">
        <f>137000+158500-100000</f>
        <v>195500</v>
      </c>
      <c r="D27" s="14"/>
      <c r="E27" s="14"/>
      <c r="F27" s="14">
        <f t="shared" si="3"/>
        <v>0</v>
      </c>
      <c r="G27" s="14"/>
      <c r="H27" s="14"/>
      <c r="I27" s="14"/>
      <c r="J27" s="14"/>
      <c r="K27" s="14"/>
      <c r="L27" s="14"/>
      <c r="M27" s="14">
        <f t="shared" si="1"/>
        <v>195500</v>
      </c>
      <c r="N27" s="3"/>
    </row>
    <row r="28" spans="1:14" ht="76.5" customHeight="1">
      <c r="A28" s="10">
        <v>90209</v>
      </c>
      <c r="B28" s="12" t="s">
        <v>66</v>
      </c>
      <c r="C28" s="14">
        <f>500</f>
        <v>500</v>
      </c>
      <c r="D28" s="14"/>
      <c r="E28" s="14"/>
      <c r="F28" s="14">
        <f t="shared" si="3"/>
        <v>0</v>
      </c>
      <c r="G28" s="14"/>
      <c r="H28" s="14"/>
      <c r="I28" s="14"/>
      <c r="J28" s="14"/>
      <c r="K28" s="14"/>
      <c r="L28" s="14"/>
      <c r="M28" s="14">
        <f t="shared" si="1"/>
        <v>500</v>
      </c>
      <c r="N28" s="3"/>
    </row>
    <row r="29" spans="1:14" ht="41.25" customHeight="1">
      <c r="A29" s="10">
        <v>90212</v>
      </c>
      <c r="B29" s="12" t="s">
        <v>53</v>
      </c>
      <c r="C29" s="14">
        <f>13094</f>
        <v>13094</v>
      </c>
      <c r="D29" s="14"/>
      <c r="E29" s="14"/>
      <c r="F29" s="14">
        <f t="shared" si="3"/>
        <v>0</v>
      </c>
      <c r="G29" s="14"/>
      <c r="H29" s="14"/>
      <c r="I29" s="14"/>
      <c r="J29" s="14"/>
      <c r="K29" s="14"/>
      <c r="L29" s="14"/>
      <c r="M29" s="14">
        <f t="shared" si="1"/>
        <v>13094</v>
      </c>
      <c r="N29" s="3"/>
    </row>
    <row r="30" spans="1:14" ht="28.5">
      <c r="A30" s="10">
        <v>90214</v>
      </c>
      <c r="B30" s="12" t="s">
        <v>71</v>
      </c>
      <c r="C30" s="14">
        <f>410000</f>
        <v>410000</v>
      </c>
      <c r="D30" s="14"/>
      <c r="E30" s="14"/>
      <c r="F30" s="14">
        <f t="shared" si="3"/>
        <v>0</v>
      </c>
      <c r="G30" s="14"/>
      <c r="H30" s="14"/>
      <c r="I30" s="14"/>
      <c r="J30" s="14"/>
      <c r="K30" s="14"/>
      <c r="L30" s="14"/>
      <c r="M30" s="14">
        <f t="shared" si="1"/>
        <v>410000</v>
      </c>
      <c r="N30" s="3"/>
    </row>
    <row r="31" spans="1:14" ht="28.5">
      <c r="A31" s="10">
        <v>90215</v>
      </c>
      <c r="B31" s="12" t="s">
        <v>64</v>
      </c>
      <c r="C31" s="14">
        <f>395600+240000-50000</f>
        <v>585600</v>
      </c>
      <c r="D31" s="14"/>
      <c r="E31" s="14"/>
      <c r="F31" s="14">
        <f t="shared" si="3"/>
        <v>0</v>
      </c>
      <c r="G31" s="14"/>
      <c r="H31" s="14"/>
      <c r="I31" s="14"/>
      <c r="J31" s="14"/>
      <c r="K31" s="14"/>
      <c r="L31" s="14"/>
      <c r="M31" s="14">
        <f t="shared" si="1"/>
        <v>585600</v>
      </c>
      <c r="N31" s="3"/>
    </row>
    <row r="32" spans="1:14" ht="42.75">
      <c r="A32" s="10">
        <v>90216</v>
      </c>
      <c r="B32" s="12" t="s">
        <v>81</v>
      </c>
      <c r="C32" s="14">
        <f>700</f>
        <v>700</v>
      </c>
      <c r="D32" s="14"/>
      <c r="E32" s="14"/>
      <c r="F32" s="14">
        <f t="shared" si="3"/>
        <v>0</v>
      </c>
      <c r="G32" s="14"/>
      <c r="H32" s="14"/>
      <c r="I32" s="14"/>
      <c r="J32" s="14"/>
      <c r="K32" s="14"/>
      <c r="L32" s="14"/>
      <c r="M32" s="14">
        <f t="shared" si="1"/>
        <v>700</v>
      </c>
      <c r="N32" s="3"/>
    </row>
    <row r="33" spans="1:13" ht="28.5">
      <c r="A33" s="10">
        <v>90302</v>
      </c>
      <c r="B33" s="12" t="s">
        <v>56</v>
      </c>
      <c r="C33" s="14">
        <f>510000-60000</f>
        <v>450000</v>
      </c>
      <c r="D33" s="14"/>
      <c r="E33" s="14"/>
      <c r="F33" s="14">
        <f t="shared" si="3"/>
        <v>0</v>
      </c>
      <c r="G33" s="14"/>
      <c r="H33" s="14"/>
      <c r="I33" s="14"/>
      <c r="J33" s="14"/>
      <c r="K33" s="14"/>
      <c r="L33" s="14"/>
      <c r="M33" s="14">
        <f t="shared" si="1"/>
        <v>450000</v>
      </c>
    </row>
    <row r="34" spans="1:13" ht="28.5">
      <c r="A34" s="10">
        <v>90303</v>
      </c>
      <c r="B34" s="12" t="s">
        <v>57</v>
      </c>
      <c r="C34" s="14">
        <f>5515000-300000</f>
        <v>5215000</v>
      </c>
      <c r="D34" s="14"/>
      <c r="E34" s="14"/>
      <c r="F34" s="14">
        <f t="shared" si="3"/>
        <v>0</v>
      </c>
      <c r="G34" s="14"/>
      <c r="H34" s="14"/>
      <c r="I34" s="14"/>
      <c r="J34" s="14"/>
      <c r="K34" s="14"/>
      <c r="L34" s="14"/>
      <c r="M34" s="14">
        <f t="shared" si="1"/>
        <v>5215000</v>
      </c>
    </row>
    <row r="35" spans="1:13" ht="15">
      <c r="A35" s="10">
        <v>90304</v>
      </c>
      <c r="B35" s="12" t="s">
        <v>82</v>
      </c>
      <c r="C35" s="14">
        <f>21400000-3240000</f>
        <v>18160000</v>
      </c>
      <c r="D35" s="14"/>
      <c r="E35" s="14"/>
      <c r="F35" s="14">
        <f t="shared" si="3"/>
        <v>0</v>
      </c>
      <c r="G35" s="14"/>
      <c r="H35" s="14"/>
      <c r="I35" s="14"/>
      <c r="J35" s="14"/>
      <c r="K35" s="14"/>
      <c r="L35" s="14"/>
      <c r="M35" s="14">
        <f t="shared" si="1"/>
        <v>18160000</v>
      </c>
    </row>
    <row r="36" spans="1:13" ht="28.5">
      <c r="A36" s="10">
        <v>90305</v>
      </c>
      <c r="B36" s="12" t="s">
        <v>58</v>
      </c>
      <c r="C36" s="14">
        <f>1876000-60000</f>
        <v>1816000</v>
      </c>
      <c r="D36" s="14"/>
      <c r="E36" s="14"/>
      <c r="F36" s="14">
        <f t="shared" si="3"/>
        <v>0</v>
      </c>
      <c r="G36" s="14"/>
      <c r="H36" s="14"/>
      <c r="I36" s="14"/>
      <c r="J36" s="14"/>
      <c r="K36" s="14"/>
      <c r="L36" s="14"/>
      <c r="M36" s="14">
        <f t="shared" si="1"/>
        <v>1816000</v>
      </c>
    </row>
    <row r="37" spans="1:13" ht="28.5">
      <c r="A37" s="10">
        <v>90306</v>
      </c>
      <c r="B37" s="12" t="s">
        <v>59</v>
      </c>
      <c r="C37" s="14">
        <f>3160000-180000</f>
        <v>2980000</v>
      </c>
      <c r="D37" s="14"/>
      <c r="E37" s="14"/>
      <c r="F37" s="14">
        <f t="shared" si="3"/>
        <v>0</v>
      </c>
      <c r="G37" s="14"/>
      <c r="H37" s="14"/>
      <c r="I37" s="14"/>
      <c r="J37" s="14"/>
      <c r="K37" s="14"/>
      <c r="L37" s="14"/>
      <c r="M37" s="14">
        <f t="shared" si="1"/>
        <v>2980000</v>
      </c>
    </row>
    <row r="38" spans="1:13" ht="28.5">
      <c r="A38" s="10">
        <v>90307</v>
      </c>
      <c r="B38" s="12" t="s">
        <v>60</v>
      </c>
      <c r="C38" s="14">
        <f>711000-67514</f>
        <v>643486</v>
      </c>
      <c r="D38" s="14"/>
      <c r="E38" s="14"/>
      <c r="F38" s="14">
        <f t="shared" si="3"/>
        <v>0</v>
      </c>
      <c r="G38" s="14"/>
      <c r="H38" s="14"/>
      <c r="I38" s="14"/>
      <c r="J38" s="14"/>
      <c r="K38" s="14"/>
      <c r="L38" s="14"/>
      <c r="M38" s="14">
        <f t="shared" si="1"/>
        <v>643486</v>
      </c>
    </row>
    <row r="39" spans="1:13" ht="15">
      <c r="A39" s="10">
        <v>90308</v>
      </c>
      <c r="B39" s="12" t="s">
        <v>86</v>
      </c>
      <c r="C39" s="14">
        <f>9720</f>
        <v>9720</v>
      </c>
      <c r="D39" s="14"/>
      <c r="E39" s="14"/>
      <c r="F39" s="14">
        <f>G39+J39</f>
        <v>0</v>
      </c>
      <c r="G39" s="14"/>
      <c r="H39" s="14"/>
      <c r="I39" s="14"/>
      <c r="J39" s="14"/>
      <c r="K39" s="14"/>
      <c r="L39" s="14"/>
      <c r="M39" s="14">
        <f>C39+F39</f>
        <v>9720</v>
      </c>
    </row>
    <row r="40" spans="1:13" ht="28.5">
      <c r="A40" s="10">
        <v>90401</v>
      </c>
      <c r="B40" s="12" t="s">
        <v>61</v>
      </c>
      <c r="C40" s="14">
        <f>4159313</f>
        <v>4159313</v>
      </c>
      <c r="D40" s="14"/>
      <c r="E40" s="14"/>
      <c r="F40" s="14">
        <f t="shared" si="3"/>
        <v>0</v>
      </c>
      <c r="G40" s="14"/>
      <c r="H40" s="14"/>
      <c r="I40" s="14"/>
      <c r="J40" s="14"/>
      <c r="K40" s="14"/>
      <c r="L40" s="14"/>
      <c r="M40" s="14">
        <f t="shared" si="1"/>
        <v>4159313</v>
      </c>
    </row>
    <row r="41" spans="1:13" ht="42.75">
      <c r="A41" s="10">
        <v>90405</v>
      </c>
      <c r="B41" s="12" t="s">
        <v>62</v>
      </c>
      <c r="C41" s="14">
        <f>8500000+1880000-300000</f>
        <v>10080000</v>
      </c>
      <c r="D41" s="14"/>
      <c r="E41" s="14"/>
      <c r="F41" s="14">
        <f t="shared" si="3"/>
        <v>0</v>
      </c>
      <c r="G41" s="14"/>
      <c r="H41" s="14"/>
      <c r="I41" s="14"/>
      <c r="J41" s="14"/>
      <c r="K41" s="14"/>
      <c r="L41" s="14"/>
      <c r="M41" s="14">
        <f aca="true" t="shared" si="5" ref="M41:M74">C41+F41</f>
        <v>10080000</v>
      </c>
    </row>
    <row r="42" spans="1:13" ht="71.25">
      <c r="A42" s="10">
        <v>90406</v>
      </c>
      <c r="B42" s="12" t="s">
        <v>63</v>
      </c>
      <c r="C42" s="14">
        <f>15500</f>
        <v>15500</v>
      </c>
      <c r="D42" s="14"/>
      <c r="E42" s="14"/>
      <c r="F42" s="14">
        <f t="shared" si="3"/>
        <v>0</v>
      </c>
      <c r="G42" s="14"/>
      <c r="H42" s="14"/>
      <c r="I42" s="14"/>
      <c r="J42" s="14"/>
      <c r="K42" s="14"/>
      <c r="L42" s="14"/>
      <c r="M42" s="14">
        <f t="shared" si="5"/>
        <v>15500</v>
      </c>
    </row>
    <row r="43" spans="1:13" ht="85.5">
      <c r="A43" s="10">
        <v>90407</v>
      </c>
      <c r="B43" s="41" t="s">
        <v>108</v>
      </c>
      <c r="C43" s="14">
        <f>0+600000</f>
        <v>600000</v>
      </c>
      <c r="D43" s="14"/>
      <c r="E43" s="14"/>
      <c r="F43" s="14">
        <f t="shared" si="3"/>
        <v>0</v>
      </c>
      <c r="G43" s="14"/>
      <c r="H43" s="14"/>
      <c r="I43" s="14"/>
      <c r="J43" s="14"/>
      <c r="K43" s="14"/>
      <c r="L43" s="14"/>
      <c r="M43" s="14">
        <f t="shared" si="5"/>
        <v>600000</v>
      </c>
    </row>
    <row r="44" spans="1:13" ht="28.5">
      <c r="A44" s="10">
        <v>90412</v>
      </c>
      <c r="B44" s="12" t="s">
        <v>23</v>
      </c>
      <c r="C44" s="14">
        <f>239700-14586.28</f>
        <v>225113.72</v>
      </c>
      <c r="D44" s="14"/>
      <c r="E44" s="14"/>
      <c r="F44" s="14">
        <f t="shared" si="3"/>
        <v>140000</v>
      </c>
      <c r="G44" s="14"/>
      <c r="H44" s="14"/>
      <c r="I44" s="14"/>
      <c r="J44" s="14">
        <f>140000</f>
        <v>140000</v>
      </c>
      <c r="K44" s="14">
        <f>140000</f>
        <v>140000</v>
      </c>
      <c r="L44" s="14"/>
      <c r="M44" s="14">
        <f t="shared" si="5"/>
        <v>365113.72</v>
      </c>
    </row>
    <row r="45" spans="1:13" ht="42.75">
      <c r="A45" s="10">
        <v>90413</v>
      </c>
      <c r="B45" s="12" t="s">
        <v>55</v>
      </c>
      <c r="C45" s="14">
        <f>1482994-28125</f>
        <v>1454869</v>
      </c>
      <c r="D45" s="14"/>
      <c r="E45" s="14"/>
      <c r="F45" s="14">
        <f t="shared" si="3"/>
        <v>0</v>
      </c>
      <c r="G45" s="14"/>
      <c r="H45" s="14"/>
      <c r="I45" s="14"/>
      <c r="J45" s="14"/>
      <c r="K45" s="14"/>
      <c r="L45" s="14"/>
      <c r="M45" s="14">
        <f t="shared" si="5"/>
        <v>1454869</v>
      </c>
    </row>
    <row r="46" spans="1:13" ht="73.5" customHeight="1">
      <c r="A46" s="10">
        <v>90414</v>
      </c>
      <c r="B46" s="12" t="s">
        <v>87</v>
      </c>
      <c r="C46" s="14">
        <f>3000</f>
        <v>3000</v>
      </c>
      <c r="D46" s="14"/>
      <c r="E46" s="14"/>
      <c r="F46" s="14">
        <f t="shared" si="3"/>
        <v>0</v>
      </c>
      <c r="G46" s="14"/>
      <c r="H46" s="14"/>
      <c r="I46" s="14"/>
      <c r="J46" s="14"/>
      <c r="K46" s="14"/>
      <c r="L46" s="14"/>
      <c r="M46" s="14">
        <f t="shared" si="5"/>
        <v>3000</v>
      </c>
    </row>
    <row r="47" spans="1:13" ht="28.5">
      <c r="A47" s="10">
        <v>90417</v>
      </c>
      <c r="B47" s="12" t="s">
        <v>83</v>
      </c>
      <c r="C47" s="14">
        <f>42517</f>
        <v>42517</v>
      </c>
      <c r="D47" s="14"/>
      <c r="E47" s="14"/>
      <c r="F47" s="14">
        <f t="shared" si="3"/>
        <v>0</v>
      </c>
      <c r="G47" s="14"/>
      <c r="H47" s="14"/>
      <c r="I47" s="14"/>
      <c r="J47" s="14"/>
      <c r="K47" s="14"/>
      <c r="L47" s="14"/>
      <c r="M47" s="14">
        <f t="shared" si="5"/>
        <v>42517</v>
      </c>
    </row>
    <row r="48" spans="1:13" ht="28.5">
      <c r="A48" s="10">
        <v>90802</v>
      </c>
      <c r="B48" s="12" t="s">
        <v>89</v>
      </c>
      <c r="C48" s="14">
        <f>5000</f>
        <v>5000</v>
      </c>
      <c r="D48" s="14"/>
      <c r="E48" s="14"/>
      <c r="F48" s="14">
        <f t="shared" si="3"/>
        <v>0</v>
      </c>
      <c r="G48" s="14"/>
      <c r="H48" s="14"/>
      <c r="I48" s="14"/>
      <c r="J48" s="14"/>
      <c r="K48" s="14"/>
      <c r="L48" s="14"/>
      <c r="M48" s="14">
        <f t="shared" si="5"/>
        <v>5000</v>
      </c>
    </row>
    <row r="49" spans="1:13" ht="28.5">
      <c r="A49" s="10">
        <v>91101</v>
      </c>
      <c r="B49" s="12" t="s">
        <v>24</v>
      </c>
      <c r="C49" s="14">
        <f>228100+185885-14582.05+36804-6600-67015-13.31+47000+4480</f>
        <v>414058.64</v>
      </c>
      <c r="D49" s="14">
        <f>158073+119075+27002+100-4850-10525-2091-5064+35000-20000</f>
        <v>296720</v>
      </c>
      <c r="E49" s="14">
        <f>6946+7397-5665+2091+3500+120</f>
        <v>14389</v>
      </c>
      <c r="F49" s="14">
        <f t="shared" si="3"/>
        <v>0</v>
      </c>
      <c r="G49" s="14"/>
      <c r="H49" s="14"/>
      <c r="I49" s="14"/>
      <c r="J49" s="14"/>
      <c r="K49" s="14"/>
      <c r="L49" s="14"/>
      <c r="M49" s="14">
        <f t="shared" si="5"/>
        <v>414058.64</v>
      </c>
    </row>
    <row r="50" spans="1:13" ht="28.5">
      <c r="A50" s="10">
        <v>91103</v>
      </c>
      <c r="B50" s="12" t="s">
        <v>25</v>
      </c>
      <c r="C50" s="14">
        <f>86100-10406-4790-8900-10000-30000</f>
        <v>22004</v>
      </c>
      <c r="D50" s="14"/>
      <c r="E50" s="14"/>
      <c r="F50" s="14">
        <f t="shared" si="3"/>
        <v>0</v>
      </c>
      <c r="G50" s="14"/>
      <c r="H50" s="14"/>
      <c r="I50" s="14"/>
      <c r="J50" s="14"/>
      <c r="K50" s="14"/>
      <c r="L50" s="14"/>
      <c r="M50" s="14">
        <f t="shared" si="5"/>
        <v>22004</v>
      </c>
    </row>
    <row r="51" spans="1:13" ht="15">
      <c r="A51" s="10">
        <v>91106</v>
      </c>
      <c r="B51" s="12" t="s">
        <v>26</v>
      </c>
      <c r="C51" s="14">
        <f>116008+121852-1314.3+37257+39181-9000+33400</f>
        <v>337383.7</v>
      </c>
      <c r="D51" s="14">
        <f>84939+70889+27335+28746+200-3200-3375+26800</f>
        <v>232334</v>
      </c>
      <c r="E51" s="14">
        <f>18070</f>
        <v>18070</v>
      </c>
      <c r="F51" s="14">
        <f t="shared" si="3"/>
        <v>18000</v>
      </c>
      <c r="G51" s="14">
        <f>13600</f>
        <v>13600</v>
      </c>
      <c r="H51" s="14">
        <f>5940</f>
        <v>5940</v>
      </c>
      <c r="I51" s="14"/>
      <c r="J51" s="14">
        <f>4400</f>
        <v>4400</v>
      </c>
      <c r="K51" s="14"/>
      <c r="L51" s="14"/>
      <c r="M51" s="14">
        <f t="shared" si="5"/>
        <v>355383.7</v>
      </c>
    </row>
    <row r="52" spans="1:13" ht="81.75" customHeight="1">
      <c r="A52" s="10">
        <v>91108</v>
      </c>
      <c r="B52" s="16" t="s">
        <v>50</v>
      </c>
      <c r="C52" s="14">
        <f>190000-10000-30000-6400</f>
        <v>143600</v>
      </c>
      <c r="D52" s="14"/>
      <c r="E52" s="14"/>
      <c r="F52" s="14">
        <f t="shared" si="3"/>
        <v>0</v>
      </c>
      <c r="G52" s="14"/>
      <c r="H52" s="14"/>
      <c r="I52" s="14"/>
      <c r="J52" s="14"/>
      <c r="K52" s="14"/>
      <c r="L52" s="14"/>
      <c r="M52" s="14">
        <f t="shared" si="5"/>
        <v>143600</v>
      </c>
    </row>
    <row r="53" spans="1:13" ht="42.75">
      <c r="A53" s="10">
        <v>91204</v>
      </c>
      <c r="B53" s="12" t="s">
        <v>90</v>
      </c>
      <c r="C53" s="25">
        <f>1863635-119185</f>
        <v>1744450</v>
      </c>
      <c r="D53" s="25">
        <f>1279700-50760</f>
        <v>1228940</v>
      </c>
      <c r="E53" s="25">
        <f>20281</f>
        <v>20281</v>
      </c>
      <c r="F53" s="25">
        <f t="shared" si="3"/>
        <v>322470</v>
      </c>
      <c r="G53" s="25">
        <f>32000</f>
        <v>32000</v>
      </c>
      <c r="H53" s="25">
        <f>9000</f>
        <v>9000</v>
      </c>
      <c r="I53" s="25"/>
      <c r="J53" s="31">
        <f>258070+32400</f>
        <v>290470</v>
      </c>
      <c r="K53" s="31">
        <f>258070+32400</f>
        <v>290470</v>
      </c>
      <c r="L53" s="25"/>
      <c r="M53" s="14">
        <f t="shared" si="5"/>
        <v>2066920</v>
      </c>
    </row>
    <row r="54" spans="1:13" ht="99.75">
      <c r="A54" s="10">
        <v>91205</v>
      </c>
      <c r="B54" s="12" t="s">
        <v>88</v>
      </c>
      <c r="C54" s="25">
        <f>53756-5232.08</f>
        <v>48523.92</v>
      </c>
      <c r="D54" s="25"/>
      <c r="E54" s="25"/>
      <c r="F54" s="14">
        <f t="shared" si="3"/>
        <v>0</v>
      </c>
      <c r="G54" s="14"/>
      <c r="H54" s="14"/>
      <c r="I54" s="14"/>
      <c r="J54" s="31"/>
      <c r="K54" s="31"/>
      <c r="L54" s="14"/>
      <c r="M54" s="14">
        <f t="shared" si="5"/>
        <v>48523.92</v>
      </c>
    </row>
    <row r="55" spans="1:13" ht="28.5">
      <c r="A55" s="10">
        <v>91206</v>
      </c>
      <c r="B55" s="12" t="s">
        <v>84</v>
      </c>
      <c r="C55" s="25">
        <f>647295-1200</f>
        <v>646095</v>
      </c>
      <c r="D55" s="25">
        <f>392568</f>
        <v>392568</v>
      </c>
      <c r="E55" s="25">
        <f>29949</f>
        <v>29949</v>
      </c>
      <c r="F55" s="14">
        <f t="shared" si="3"/>
        <v>0</v>
      </c>
      <c r="G55" s="14"/>
      <c r="H55" s="14"/>
      <c r="I55" s="14"/>
      <c r="J55" s="14"/>
      <c r="K55" s="14"/>
      <c r="L55" s="14"/>
      <c r="M55" s="14">
        <f t="shared" si="5"/>
        <v>646095</v>
      </c>
    </row>
    <row r="56" spans="1:13" ht="42.75">
      <c r="A56" s="10">
        <v>91300</v>
      </c>
      <c r="B56" s="12" t="s">
        <v>67</v>
      </c>
      <c r="C56" s="25">
        <f>5717407</f>
        <v>5717407</v>
      </c>
      <c r="D56" s="14"/>
      <c r="E56" s="14"/>
      <c r="F56" s="14">
        <f t="shared" si="3"/>
        <v>0</v>
      </c>
      <c r="G56" s="14"/>
      <c r="H56" s="14"/>
      <c r="I56" s="14"/>
      <c r="J56" s="14"/>
      <c r="K56" s="14"/>
      <c r="L56" s="14"/>
      <c r="M56" s="14">
        <f t="shared" si="5"/>
        <v>5717407</v>
      </c>
    </row>
    <row r="57" spans="1:13" ht="59.25" customHeight="1">
      <c r="A57" s="10">
        <v>91303</v>
      </c>
      <c r="B57" s="12" t="s">
        <v>68</v>
      </c>
      <c r="C57" s="14">
        <f>21447</f>
        <v>21447</v>
      </c>
      <c r="D57" s="14"/>
      <c r="E57" s="14"/>
      <c r="F57" s="14">
        <f t="shared" si="3"/>
        <v>0</v>
      </c>
      <c r="G57" s="14"/>
      <c r="H57" s="14"/>
      <c r="I57" s="14"/>
      <c r="J57" s="14"/>
      <c r="K57" s="14"/>
      <c r="L57" s="14"/>
      <c r="M57" s="14">
        <f t="shared" si="5"/>
        <v>21447</v>
      </c>
    </row>
    <row r="58" spans="1:13" ht="28.5">
      <c r="A58" s="10">
        <v>91304</v>
      </c>
      <c r="B58" s="12" t="s">
        <v>69</v>
      </c>
      <c r="C58" s="14">
        <f>3612</f>
        <v>3612</v>
      </c>
      <c r="D58" s="14"/>
      <c r="E58" s="14"/>
      <c r="F58" s="14">
        <f t="shared" si="3"/>
        <v>0</v>
      </c>
      <c r="G58" s="14"/>
      <c r="H58" s="14"/>
      <c r="I58" s="14"/>
      <c r="J58" s="14"/>
      <c r="K58" s="14"/>
      <c r="L58" s="14"/>
      <c r="M58" s="14">
        <f t="shared" si="5"/>
        <v>3612</v>
      </c>
    </row>
    <row r="59" spans="1:13" ht="30">
      <c r="A59" s="8">
        <v>100000</v>
      </c>
      <c r="B59" s="18" t="s">
        <v>27</v>
      </c>
      <c r="C59" s="13">
        <f aca="true" t="shared" si="6" ref="C59:L59">SUM(C60:C63)</f>
        <v>3628000</v>
      </c>
      <c r="D59" s="13">
        <f t="shared" si="6"/>
        <v>0</v>
      </c>
      <c r="E59" s="13">
        <f t="shared" si="6"/>
        <v>0</v>
      </c>
      <c r="F59" s="13">
        <f t="shared" si="6"/>
        <v>7298717.699999999</v>
      </c>
      <c r="G59" s="13">
        <f t="shared" si="6"/>
        <v>3505354.6999999997</v>
      </c>
      <c r="H59" s="13">
        <f t="shared" si="6"/>
        <v>0</v>
      </c>
      <c r="I59" s="13">
        <f t="shared" si="6"/>
        <v>0</v>
      </c>
      <c r="J59" s="13">
        <f t="shared" si="6"/>
        <v>3793363</v>
      </c>
      <c r="K59" s="13">
        <f t="shared" si="6"/>
        <v>3793363</v>
      </c>
      <c r="L59" s="13">
        <f t="shared" si="6"/>
        <v>0</v>
      </c>
      <c r="M59" s="13">
        <f t="shared" si="5"/>
        <v>10926717.7</v>
      </c>
    </row>
    <row r="60" spans="1:13" ht="28.5">
      <c r="A60" s="34">
        <v>100102</v>
      </c>
      <c r="B60" s="36" t="s">
        <v>99</v>
      </c>
      <c r="C60" s="29"/>
      <c r="D60" s="13"/>
      <c r="E60" s="13"/>
      <c r="F60" s="25">
        <f>G60+J60</f>
        <v>256824</v>
      </c>
      <c r="G60" s="13"/>
      <c r="H60" s="13"/>
      <c r="I60" s="13"/>
      <c r="J60" s="40">
        <f>800000+34000+200000+97000+30000+61224-150000-200000-615400</f>
        <v>256824</v>
      </c>
      <c r="K60" s="40">
        <f>800000+34000+200000+97000+30000+61224-150000-200000-615400</f>
        <v>256824</v>
      </c>
      <c r="L60" s="13"/>
      <c r="M60" s="31">
        <f t="shared" si="5"/>
        <v>256824</v>
      </c>
    </row>
    <row r="61" spans="1:13" ht="28.5">
      <c r="A61" s="32">
        <v>100202</v>
      </c>
      <c r="B61" s="12" t="s">
        <v>94</v>
      </c>
      <c r="C61" s="29"/>
      <c r="D61" s="31"/>
      <c r="E61" s="31"/>
      <c r="F61" s="31">
        <f>G61+J61</f>
        <v>2874539</v>
      </c>
      <c r="G61" s="31"/>
      <c r="H61" s="31"/>
      <c r="I61" s="31"/>
      <c r="J61" s="31">
        <f>547968+75250+700000+9521+1541800</f>
        <v>2874539</v>
      </c>
      <c r="K61" s="31">
        <f>547968+75250+700000+9521+1541800</f>
        <v>2874539</v>
      </c>
      <c r="L61" s="31"/>
      <c r="M61" s="31">
        <f t="shared" si="5"/>
        <v>2874539</v>
      </c>
    </row>
    <row r="62" spans="1:13" ht="15">
      <c r="A62" s="10">
        <v>100203</v>
      </c>
      <c r="B62" s="12" t="s">
        <v>28</v>
      </c>
      <c r="C62" s="14">
        <f>3700000+30000-30000-72000</f>
        <v>3628000</v>
      </c>
      <c r="D62" s="14"/>
      <c r="E62" s="14"/>
      <c r="F62" s="14">
        <f t="shared" si="3"/>
        <v>662000</v>
      </c>
      <c r="G62" s="14"/>
      <c r="H62" s="14"/>
      <c r="I62" s="14"/>
      <c r="J62" s="14">
        <f>200000+371600+90400</f>
        <v>662000</v>
      </c>
      <c r="K62" s="14">
        <f>200000+371600+90400</f>
        <v>662000</v>
      </c>
      <c r="L62" s="14"/>
      <c r="M62" s="14">
        <f t="shared" si="5"/>
        <v>4290000</v>
      </c>
    </row>
    <row r="63" spans="1:13" ht="95.25" customHeight="1">
      <c r="A63" s="10">
        <v>100602</v>
      </c>
      <c r="B63" s="12" t="s">
        <v>107</v>
      </c>
      <c r="C63" s="14"/>
      <c r="D63" s="14"/>
      <c r="E63" s="14"/>
      <c r="F63" s="14">
        <f t="shared" si="3"/>
        <v>3505354.6999999997</v>
      </c>
      <c r="G63" s="14">
        <f>1936000+1018605.15+135624.85+318279.44+96845.26</f>
        <v>3505354.6999999997</v>
      </c>
      <c r="H63" s="14"/>
      <c r="I63" s="14"/>
      <c r="J63" s="14"/>
      <c r="K63" s="14"/>
      <c r="L63" s="14"/>
      <c r="M63" s="14">
        <f t="shared" si="5"/>
        <v>3505354.6999999997</v>
      </c>
    </row>
    <row r="64" spans="1:13" ht="15">
      <c r="A64" s="8">
        <v>110000</v>
      </c>
      <c r="B64" s="18" t="s">
        <v>29</v>
      </c>
      <c r="C64" s="13">
        <f>SUM(C65:C69)</f>
        <v>4202263.74</v>
      </c>
      <c r="D64" s="13">
        <f>SUM(D65:D69)</f>
        <v>2968556</v>
      </c>
      <c r="E64" s="13">
        <f>SUM(E65:E69)</f>
        <v>130141</v>
      </c>
      <c r="F64" s="13">
        <f>G64+J64</f>
        <v>673650</v>
      </c>
      <c r="G64" s="13">
        <f aca="true" t="shared" si="7" ref="G64:L64">SUM(G65:G69)</f>
        <v>312650</v>
      </c>
      <c r="H64" s="13">
        <f t="shared" si="7"/>
        <v>142616</v>
      </c>
      <c r="I64" s="13">
        <f t="shared" si="7"/>
        <v>8010</v>
      </c>
      <c r="J64" s="13">
        <f t="shared" si="7"/>
        <v>361000</v>
      </c>
      <c r="K64" s="13">
        <f t="shared" si="7"/>
        <v>341000</v>
      </c>
      <c r="L64" s="13">
        <f t="shared" si="7"/>
        <v>0</v>
      </c>
      <c r="M64" s="13">
        <f t="shared" si="5"/>
        <v>4875913.74</v>
      </c>
    </row>
    <row r="65" spans="1:13" ht="15">
      <c r="A65" s="10">
        <v>110201</v>
      </c>
      <c r="B65" s="12" t="s">
        <v>30</v>
      </c>
      <c r="C65" s="14">
        <f>287361-10900</f>
        <v>276461</v>
      </c>
      <c r="D65" s="14">
        <f>180960-8000</f>
        <v>172960</v>
      </c>
      <c r="E65" s="14">
        <f>24513</f>
        <v>24513</v>
      </c>
      <c r="F65" s="14">
        <f t="shared" si="3"/>
        <v>15000</v>
      </c>
      <c r="G65" s="14"/>
      <c r="H65" s="14"/>
      <c r="I65" s="14"/>
      <c r="J65" s="14">
        <f>115000-100000</f>
        <v>15000</v>
      </c>
      <c r="K65" s="14">
        <f>115000-100000</f>
        <v>15000</v>
      </c>
      <c r="L65" s="14"/>
      <c r="M65" s="14">
        <f t="shared" si="5"/>
        <v>291461</v>
      </c>
    </row>
    <row r="66" spans="1:13" ht="15">
      <c r="A66" s="10">
        <v>110202</v>
      </c>
      <c r="B66" s="12" t="s">
        <v>31</v>
      </c>
      <c r="C66" s="14">
        <f>257504-39000</f>
        <v>218504</v>
      </c>
      <c r="D66" s="14">
        <f>187461-21000</f>
        <v>166461</v>
      </c>
      <c r="E66" s="14">
        <f>3750</f>
        <v>3750</v>
      </c>
      <c r="F66" s="14">
        <f t="shared" si="3"/>
        <v>212000</v>
      </c>
      <c r="G66" s="14">
        <f>11000</f>
        <v>11000</v>
      </c>
      <c r="H66" s="14"/>
      <c r="I66" s="14"/>
      <c r="J66" s="14">
        <f>4000+197000</f>
        <v>201000</v>
      </c>
      <c r="K66" s="14">
        <f>197000</f>
        <v>197000</v>
      </c>
      <c r="L66" s="14"/>
      <c r="M66" s="14">
        <f t="shared" si="5"/>
        <v>430504</v>
      </c>
    </row>
    <row r="67" spans="1:13" ht="28.5">
      <c r="A67" s="10">
        <v>110204</v>
      </c>
      <c r="B67" s="12" t="s">
        <v>32</v>
      </c>
      <c r="C67" s="14">
        <f>364863-10900+50000</f>
        <v>403963</v>
      </c>
      <c r="D67" s="14">
        <f>262241-8000+38000</f>
        <v>292241</v>
      </c>
      <c r="E67" s="14">
        <f>7427</f>
        <v>7427</v>
      </c>
      <c r="F67" s="14">
        <f t="shared" si="3"/>
        <v>64650</v>
      </c>
      <c r="G67" s="14">
        <f>53650</f>
        <v>53650</v>
      </c>
      <c r="H67" s="14">
        <f>6933</f>
        <v>6933</v>
      </c>
      <c r="I67" s="14">
        <f>5300</f>
        <v>5300</v>
      </c>
      <c r="J67" s="14">
        <f>11000</f>
        <v>11000</v>
      </c>
      <c r="K67" s="14"/>
      <c r="L67" s="14"/>
      <c r="M67" s="14">
        <f t="shared" si="5"/>
        <v>468613</v>
      </c>
    </row>
    <row r="68" spans="1:13" ht="28.5">
      <c r="A68" s="10">
        <v>110205</v>
      </c>
      <c r="B68" s="12" t="s">
        <v>33</v>
      </c>
      <c r="C68" s="14">
        <f>2199496-4770+409000</f>
        <v>2603726</v>
      </c>
      <c r="D68" s="14">
        <f>1553643-3500+300100</f>
        <v>1850243</v>
      </c>
      <c r="E68" s="14">
        <f>94451</f>
        <v>94451</v>
      </c>
      <c r="F68" s="14">
        <f t="shared" si="3"/>
        <v>243000</v>
      </c>
      <c r="G68" s="14">
        <f>243000</f>
        <v>243000</v>
      </c>
      <c r="H68" s="14">
        <f>135683</f>
        <v>135683</v>
      </c>
      <c r="I68" s="14">
        <f>2710</f>
        <v>2710</v>
      </c>
      <c r="J68" s="14"/>
      <c r="K68" s="14"/>
      <c r="L68" s="14"/>
      <c r="M68" s="14">
        <f t="shared" si="5"/>
        <v>2846726</v>
      </c>
    </row>
    <row r="69" spans="1:13" ht="28.5">
      <c r="A69" s="10">
        <v>110502</v>
      </c>
      <c r="B69" s="12" t="s">
        <v>34</v>
      </c>
      <c r="C69" s="14">
        <f>531845+159632-249.26+50000-25000-4770-22560-288+11000</f>
        <v>699609.74</v>
      </c>
      <c r="D69" s="14">
        <f>390200+115651+200-15900-3500</f>
        <v>486651</v>
      </c>
      <c r="E69" s="14"/>
      <c r="F69" s="14">
        <f t="shared" si="3"/>
        <v>139000</v>
      </c>
      <c r="G69" s="14">
        <f>5000</f>
        <v>5000</v>
      </c>
      <c r="H69" s="14"/>
      <c r="I69" s="14"/>
      <c r="J69" s="14">
        <f>5000+29000+100000</f>
        <v>134000</v>
      </c>
      <c r="K69" s="14">
        <f>29000+100000</f>
        <v>129000</v>
      </c>
      <c r="L69" s="14"/>
      <c r="M69" s="14">
        <f t="shared" si="5"/>
        <v>838609.74</v>
      </c>
    </row>
    <row r="70" spans="1:13" ht="15">
      <c r="A70" s="8">
        <v>120000</v>
      </c>
      <c r="B70" s="18" t="s">
        <v>35</v>
      </c>
      <c r="C70" s="13">
        <f>SUM(C71:C72)</f>
        <v>200000</v>
      </c>
      <c r="D70" s="13">
        <f>SUM(D71:D72)</f>
        <v>0</v>
      </c>
      <c r="E70" s="13">
        <f>SUM(E71:E72)</f>
        <v>0</v>
      </c>
      <c r="F70" s="13">
        <f>G70+J70</f>
        <v>6000</v>
      </c>
      <c r="G70" s="13"/>
      <c r="H70" s="13"/>
      <c r="I70" s="13"/>
      <c r="J70" s="13">
        <f>SUM(J71:J72)</f>
        <v>6000</v>
      </c>
      <c r="K70" s="13">
        <f>SUM(K71:K72)</f>
        <v>6000</v>
      </c>
      <c r="L70" s="13">
        <f>SUM(L71:L72)</f>
        <v>0</v>
      </c>
      <c r="M70" s="13">
        <f t="shared" si="5"/>
        <v>206000</v>
      </c>
    </row>
    <row r="71" spans="1:13" ht="15">
      <c r="A71" s="10">
        <v>120100</v>
      </c>
      <c r="B71" s="12" t="s">
        <v>36</v>
      </c>
      <c r="C71" s="14">
        <f>70000</f>
        <v>70000</v>
      </c>
      <c r="D71" s="14"/>
      <c r="E71" s="14"/>
      <c r="F71" s="14">
        <f t="shared" si="3"/>
        <v>0</v>
      </c>
      <c r="G71" s="14"/>
      <c r="H71" s="14"/>
      <c r="I71" s="14"/>
      <c r="J71" s="14"/>
      <c r="K71" s="14"/>
      <c r="L71" s="14"/>
      <c r="M71" s="14">
        <f t="shared" si="5"/>
        <v>70000</v>
      </c>
    </row>
    <row r="72" spans="1:13" ht="28.5">
      <c r="A72" s="10">
        <v>120201</v>
      </c>
      <c r="B72" s="12" t="s">
        <v>37</v>
      </c>
      <c r="C72" s="14">
        <f>130000</f>
        <v>130000</v>
      </c>
      <c r="D72" s="14"/>
      <c r="E72" s="14"/>
      <c r="F72" s="14">
        <f t="shared" si="3"/>
        <v>6000</v>
      </c>
      <c r="G72" s="14"/>
      <c r="H72" s="14"/>
      <c r="I72" s="14"/>
      <c r="J72" s="14">
        <f>6000</f>
        <v>6000</v>
      </c>
      <c r="K72" s="14">
        <f>6000</f>
        <v>6000</v>
      </c>
      <c r="L72" s="14"/>
      <c r="M72" s="14">
        <f t="shared" si="5"/>
        <v>136000</v>
      </c>
    </row>
    <row r="73" spans="1:13" ht="15">
      <c r="A73" s="8">
        <v>130000</v>
      </c>
      <c r="B73" s="18" t="s">
        <v>38</v>
      </c>
      <c r="C73" s="13">
        <f>SUM(C74:C75)</f>
        <v>1437034</v>
      </c>
      <c r="D73" s="13">
        <f>SUM(D74:D75)</f>
        <v>752540</v>
      </c>
      <c r="E73" s="13">
        <f>SUM(E74:E75)</f>
        <v>95551</v>
      </c>
      <c r="F73" s="13">
        <f>G73+J73</f>
        <v>64000</v>
      </c>
      <c r="G73" s="13">
        <f aca="true" t="shared" si="8" ref="G73:L73">SUM(G74:G75)</f>
        <v>0</v>
      </c>
      <c r="H73" s="13">
        <f t="shared" si="8"/>
        <v>0</v>
      </c>
      <c r="I73" s="13">
        <f t="shared" si="8"/>
        <v>0</v>
      </c>
      <c r="J73" s="13">
        <f t="shared" si="8"/>
        <v>64000</v>
      </c>
      <c r="K73" s="13">
        <f t="shared" si="8"/>
        <v>64000</v>
      </c>
      <c r="L73" s="13">
        <f t="shared" si="8"/>
        <v>0</v>
      </c>
      <c r="M73" s="13">
        <f t="shared" si="5"/>
        <v>1501034</v>
      </c>
    </row>
    <row r="74" spans="1:13" ht="28.5">
      <c r="A74" s="10">
        <v>130102</v>
      </c>
      <c r="B74" s="12" t="s">
        <v>39</v>
      </c>
      <c r="C74" s="14">
        <f>100000-40000+60000</f>
        <v>120000</v>
      </c>
      <c r="D74" s="14"/>
      <c r="E74" s="14"/>
      <c r="F74" s="14">
        <f t="shared" si="3"/>
        <v>0</v>
      </c>
      <c r="G74" s="14"/>
      <c r="H74" s="14"/>
      <c r="I74" s="14"/>
      <c r="J74" s="14"/>
      <c r="K74" s="14"/>
      <c r="L74" s="14"/>
      <c r="M74" s="14">
        <f t="shared" si="5"/>
        <v>120000</v>
      </c>
    </row>
    <row r="75" spans="1:13" ht="42.75">
      <c r="A75" s="10">
        <v>130107</v>
      </c>
      <c r="B75" s="12" t="s">
        <v>85</v>
      </c>
      <c r="C75" s="25">
        <f>1235734-28700+60000+50000</f>
        <v>1317034</v>
      </c>
      <c r="D75" s="25">
        <f>736680-21140+37000</f>
        <v>752540</v>
      </c>
      <c r="E75" s="25">
        <f>82602+12949</f>
        <v>95551</v>
      </c>
      <c r="F75" s="14">
        <f t="shared" si="3"/>
        <v>64000</v>
      </c>
      <c r="G75" s="14"/>
      <c r="H75" s="14"/>
      <c r="I75" s="14"/>
      <c r="J75" s="31">
        <f>4000+39240+34896-39240-34896+60000</f>
        <v>64000</v>
      </c>
      <c r="K75" s="31">
        <f>4000+39240+34896-39240-34896+60000</f>
        <v>64000</v>
      </c>
      <c r="L75" s="14"/>
      <c r="M75" s="14">
        <f aca="true" t="shared" si="9" ref="M75:M100">C75+F75</f>
        <v>1381034</v>
      </c>
    </row>
    <row r="76" spans="1:14" s="20" customFormat="1" ht="15">
      <c r="A76" s="26">
        <v>150000</v>
      </c>
      <c r="B76" s="27" t="s">
        <v>75</v>
      </c>
      <c r="C76" s="28">
        <f aca="true" t="shared" si="10" ref="C76:K76">SUM(C77:C78)</f>
        <v>0</v>
      </c>
      <c r="D76" s="28">
        <f t="shared" si="10"/>
        <v>0</v>
      </c>
      <c r="E76" s="28">
        <f t="shared" si="10"/>
        <v>0</v>
      </c>
      <c r="F76" s="28">
        <f t="shared" si="10"/>
        <v>3057352</v>
      </c>
      <c r="G76" s="28">
        <f t="shared" si="10"/>
        <v>0</v>
      </c>
      <c r="H76" s="28">
        <f t="shared" si="10"/>
        <v>0</v>
      </c>
      <c r="I76" s="28">
        <f t="shared" si="10"/>
        <v>0</v>
      </c>
      <c r="J76" s="28">
        <f t="shared" si="10"/>
        <v>3057352</v>
      </c>
      <c r="K76" s="28">
        <f t="shared" si="10"/>
        <v>3057352</v>
      </c>
      <c r="L76" s="28">
        <f>SUM(L77:L78)</f>
        <v>0</v>
      </c>
      <c r="M76" s="28">
        <f t="shared" si="9"/>
        <v>3057352</v>
      </c>
      <c r="N76" s="24"/>
    </row>
    <row r="77" spans="1:13" s="24" customFormat="1" ht="15">
      <c r="A77" s="22">
        <v>150101</v>
      </c>
      <c r="B77" s="21" t="s">
        <v>76</v>
      </c>
      <c r="C77" s="23"/>
      <c r="D77" s="23"/>
      <c r="E77" s="23"/>
      <c r="F77" s="23">
        <f>G77+J77</f>
        <v>2949352</v>
      </c>
      <c r="G77" s="23"/>
      <c r="H77" s="23"/>
      <c r="I77" s="23"/>
      <c r="J77" s="23">
        <f>90400+234473+84979+510000+677204.8-84979-9521+500000-112804.8+400000+100000+650000-90400</f>
        <v>2949352</v>
      </c>
      <c r="K77" s="23">
        <f>90400+234473+84979+510000+677204.8-84979-9521+500000-112804.8+400000+100000+650000-90400</f>
        <v>2949352</v>
      </c>
      <c r="L77" s="23"/>
      <c r="M77" s="23">
        <f t="shared" si="9"/>
        <v>2949352</v>
      </c>
    </row>
    <row r="78" spans="1:13" s="24" customFormat="1" ht="28.5">
      <c r="A78" s="10">
        <v>150202</v>
      </c>
      <c r="B78" s="11" t="s">
        <v>97</v>
      </c>
      <c r="C78" s="14"/>
      <c r="D78" s="14"/>
      <c r="E78" s="14"/>
      <c r="F78" s="14">
        <f>G78+J78</f>
        <v>108000</v>
      </c>
      <c r="G78" s="14"/>
      <c r="H78" s="14"/>
      <c r="I78" s="14"/>
      <c r="J78" s="14">
        <f>25000+83000+85000-85000</f>
        <v>108000</v>
      </c>
      <c r="K78" s="14">
        <f>25000+83000+85000-85000</f>
        <v>108000</v>
      </c>
      <c r="L78" s="14"/>
      <c r="M78" s="14">
        <f t="shared" si="9"/>
        <v>108000</v>
      </c>
    </row>
    <row r="79" spans="1:13" ht="47.25" customHeight="1">
      <c r="A79" s="8">
        <v>170000</v>
      </c>
      <c r="B79" s="18" t="s">
        <v>40</v>
      </c>
      <c r="C79" s="13">
        <f>SUM(C80:C84)</f>
        <v>1631140</v>
      </c>
      <c r="D79" s="13">
        <f>SUM(D80:D84)</f>
        <v>0</v>
      </c>
      <c r="E79" s="13">
        <f>SUM(E80:E84)</f>
        <v>0</v>
      </c>
      <c r="F79" s="13">
        <f>G79+J79</f>
        <v>6372472.69</v>
      </c>
      <c r="G79" s="13">
        <f>SUM(G80:G85)</f>
        <v>2199690.12</v>
      </c>
      <c r="H79" s="13">
        <f>SUM(H80:H85)</f>
        <v>0</v>
      </c>
      <c r="I79" s="13">
        <f>SUM(I80:I85)</f>
        <v>0</v>
      </c>
      <c r="J79" s="13">
        <f>SUM(J80:J85)</f>
        <v>4172782.5700000003</v>
      </c>
      <c r="K79" s="13">
        <f>SUM(K80:K85)</f>
        <v>926379</v>
      </c>
      <c r="L79" s="13">
        <f>SUM(L80:L84)</f>
        <v>0</v>
      </c>
      <c r="M79" s="13">
        <f t="shared" si="9"/>
        <v>8003612.69</v>
      </c>
    </row>
    <row r="80" spans="1:13" ht="42.75">
      <c r="A80" s="10">
        <v>170102</v>
      </c>
      <c r="B80" s="12" t="s">
        <v>103</v>
      </c>
      <c r="C80" s="14">
        <f>1522812</f>
        <v>1522812</v>
      </c>
      <c r="D80" s="14"/>
      <c r="E80" s="14"/>
      <c r="F80" s="14">
        <f aca="true" t="shared" si="11" ref="F80:F99">G80+J80</f>
        <v>0</v>
      </c>
      <c r="G80" s="14"/>
      <c r="H80" s="14"/>
      <c r="I80" s="14"/>
      <c r="J80" s="14"/>
      <c r="K80" s="14"/>
      <c r="L80" s="14"/>
      <c r="M80" s="14">
        <f t="shared" si="9"/>
        <v>1522812</v>
      </c>
    </row>
    <row r="81" spans="1:13" ht="28.5">
      <c r="A81" s="10">
        <v>170103</v>
      </c>
      <c r="B81" s="12" t="s">
        <v>104</v>
      </c>
      <c r="C81" s="14">
        <f>82348-34020</f>
        <v>48328</v>
      </c>
      <c r="D81" s="14"/>
      <c r="E81" s="14"/>
      <c r="F81" s="14">
        <f>G81+J81</f>
        <v>0</v>
      </c>
      <c r="G81" s="14"/>
      <c r="H81" s="14"/>
      <c r="I81" s="14"/>
      <c r="J81" s="14"/>
      <c r="K81" s="14"/>
      <c r="L81" s="14"/>
      <c r="M81" s="14">
        <f>C81+F81</f>
        <v>48328</v>
      </c>
    </row>
    <row r="82" spans="1:13" ht="48" customHeight="1">
      <c r="A82" s="10">
        <v>170302</v>
      </c>
      <c r="B82" s="12" t="s">
        <v>70</v>
      </c>
      <c r="C82" s="14">
        <f>60000</f>
        <v>60000</v>
      </c>
      <c r="D82" s="14"/>
      <c r="E82" s="14"/>
      <c r="F82" s="14">
        <f t="shared" si="11"/>
        <v>0</v>
      </c>
      <c r="G82" s="14"/>
      <c r="H82" s="14"/>
      <c r="I82" s="14"/>
      <c r="J82" s="14"/>
      <c r="K82" s="14"/>
      <c r="L82" s="14"/>
      <c r="M82" s="14">
        <f t="shared" si="9"/>
        <v>60000</v>
      </c>
    </row>
    <row r="83" spans="1:13" ht="90.75" customHeight="1">
      <c r="A83" s="22">
        <v>170703</v>
      </c>
      <c r="B83" s="12" t="s">
        <v>92</v>
      </c>
      <c r="C83" s="14"/>
      <c r="D83" s="14"/>
      <c r="E83" s="14"/>
      <c r="F83" s="23">
        <f t="shared" si="11"/>
        <v>1980644.79</v>
      </c>
      <c r="G83" s="23">
        <f>942700+16565.79+95000</f>
        <v>1054265.79</v>
      </c>
      <c r="H83" s="23"/>
      <c r="I83" s="23"/>
      <c r="J83" s="14">
        <f>226000+84979+615400</f>
        <v>926379</v>
      </c>
      <c r="K83" s="14">
        <f>226000+84979+615400</f>
        <v>926379</v>
      </c>
      <c r="L83" s="14"/>
      <c r="M83" s="23">
        <f t="shared" si="9"/>
        <v>1980644.79</v>
      </c>
    </row>
    <row r="84" spans="1:14" s="20" customFormat="1" ht="71.25">
      <c r="A84" s="22">
        <v>170703</v>
      </c>
      <c r="B84" s="21" t="s">
        <v>100</v>
      </c>
      <c r="C84" s="19"/>
      <c r="D84" s="19"/>
      <c r="E84" s="19"/>
      <c r="F84" s="23">
        <f t="shared" si="11"/>
        <v>3177648.1</v>
      </c>
      <c r="G84" s="23">
        <f>720300+63595.75+94600-3200</f>
        <v>875295.75</v>
      </c>
      <c r="H84" s="23"/>
      <c r="I84" s="23"/>
      <c r="J84" s="23">
        <f>1530500+567452.35+201200+3200</f>
        <v>2302352.35</v>
      </c>
      <c r="K84" s="23"/>
      <c r="L84" s="23"/>
      <c r="M84" s="23">
        <f t="shared" si="9"/>
        <v>3177648.1</v>
      </c>
      <c r="N84" s="24"/>
    </row>
    <row r="85" spans="1:14" s="20" customFormat="1" ht="71.25">
      <c r="A85" s="22">
        <v>170703</v>
      </c>
      <c r="B85" s="21" t="s">
        <v>101</v>
      </c>
      <c r="C85" s="19"/>
      <c r="D85" s="19"/>
      <c r="E85" s="19"/>
      <c r="F85" s="23">
        <f>G85+J85</f>
        <v>1214179.8</v>
      </c>
      <c r="G85" s="23">
        <f>269000-1600+2728.58</f>
        <v>270128.58</v>
      </c>
      <c r="H85" s="23"/>
      <c r="I85" s="23"/>
      <c r="J85" s="23">
        <f>571500+372651.22+1600-1700</f>
        <v>944051.22</v>
      </c>
      <c r="K85" s="23"/>
      <c r="L85" s="23"/>
      <c r="M85" s="23">
        <f>C85+F85</f>
        <v>1214179.8</v>
      </c>
      <c r="N85" s="24"/>
    </row>
    <row r="86" spans="1:14" s="20" customFormat="1" ht="30">
      <c r="A86" s="8">
        <v>180000</v>
      </c>
      <c r="B86" s="9" t="s">
        <v>95</v>
      </c>
      <c r="C86" s="13">
        <f>C87</f>
        <v>0</v>
      </c>
      <c r="D86" s="13">
        <f aca="true" t="shared" si="12" ref="D86:L86">D87</f>
        <v>0</v>
      </c>
      <c r="E86" s="13">
        <f t="shared" si="12"/>
        <v>0</v>
      </c>
      <c r="F86" s="13">
        <f t="shared" si="12"/>
        <v>1342000</v>
      </c>
      <c r="G86" s="13">
        <f t="shared" si="12"/>
        <v>0</v>
      </c>
      <c r="H86" s="13">
        <f t="shared" si="12"/>
        <v>0</v>
      </c>
      <c r="I86" s="13">
        <f t="shared" si="12"/>
        <v>0</v>
      </c>
      <c r="J86" s="13">
        <f t="shared" si="12"/>
        <v>1342000</v>
      </c>
      <c r="K86" s="13">
        <f t="shared" si="12"/>
        <v>1342000</v>
      </c>
      <c r="L86" s="13">
        <f t="shared" si="12"/>
        <v>0</v>
      </c>
      <c r="M86" s="13">
        <f t="shared" si="9"/>
        <v>1342000</v>
      </c>
      <c r="N86" s="24"/>
    </row>
    <row r="87" spans="1:14" s="20" customFormat="1" ht="71.25">
      <c r="A87" s="33">
        <v>180409</v>
      </c>
      <c r="B87" s="21" t="s">
        <v>96</v>
      </c>
      <c r="C87" s="14"/>
      <c r="D87" s="14"/>
      <c r="E87" s="14"/>
      <c r="F87" s="14">
        <f>G87+J87</f>
        <v>1342000</v>
      </c>
      <c r="G87" s="14"/>
      <c r="H87" s="14"/>
      <c r="I87" s="14"/>
      <c r="J87" s="14">
        <f>50000+420000+422000+150000+100000+200000</f>
        <v>1342000</v>
      </c>
      <c r="K87" s="14">
        <f>50000+420000+422000+150000+100000+200000</f>
        <v>1342000</v>
      </c>
      <c r="L87" s="14"/>
      <c r="M87" s="14">
        <f t="shared" si="9"/>
        <v>1342000</v>
      </c>
      <c r="N87" s="24"/>
    </row>
    <row r="88" spans="1:13" ht="45">
      <c r="A88" s="8">
        <v>210000</v>
      </c>
      <c r="B88" s="18" t="s">
        <v>41</v>
      </c>
      <c r="C88" s="13">
        <f>SUM(C89:C91)</f>
        <v>588963.5800000001</v>
      </c>
      <c r="D88" s="13">
        <f aca="true" t="shared" si="13" ref="D88:L88">SUM(D89:D91)</f>
        <v>0</v>
      </c>
      <c r="E88" s="13">
        <f t="shared" si="13"/>
        <v>0</v>
      </c>
      <c r="F88" s="13">
        <f t="shared" si="13"/>
        <v>84280</v>
      </c>
      <c r="G88" s="13">
        <f t="shared" si="13"/>
        <v>0</v>
      </c>
      <c r="H88" s="13">
        <f t="shared" si="13"/>
        <v>0</v>
      </c>
      <c r="I88" s="13">
        <f t="shared" si="13"/>
        <v>0</v>
      </c>
      <c r="J88" s="13">
        <f t="shared" si="13"/>
        <v>84280</v>
      </c>
      <c r="K88" s="13">
        <f t="shared" si="13"/>
        <v>84280</v>
      </c>
      <c r="L88" s="13">
        <f t="shared" si="13"/>
        <v>0</v>
      </c>
      <c r="M88" s="13">
        <f t="shared" si="9"/>
        <v>673243.5800000001</v>
      </c>
    </row>
    <row r="89" spans="1:13" ht="42.75">
      <c r="A89" s="10">
        <v>210105</v>
      </c>
      <c r="B89" s="12" t="s">
        <v>105</v>
      </c>
      <c r="C89" s="14">
        <f>11656.58+8451</f>
        <v>20107.58</v>
      </c>
      <c r="D89" s="14"/>
      <c r="E89" s="13"/>
      <c r="F89" s="25">
        <f>G89+J89</f>
        <v>0</v>
      </c>
      <c r="G89" s="13"/>
      <c r="H89" s="13"/>
      <c r="I89" s="13"/>
      <c r="J89" s="13"/>
      <c r="K89" s="13"/>
      <c r="L89" s="13"/>
      <c r="M89" s="25">
        <f t="shared" si="9"/>
        <v>20107.58</v>
      </c>
    </row>
    <row r="90" spans="1:13" ht="57">
      <c r="A90" s="34">
        <v>210106</v>
      </c>
      <c r="B90" s="35" t="s">
        <v>98</v>
      </c>
      <c r="C90" s="25">
        <f>20000+55000+24892+268964</f>
        <v>368856</v>
      </c>
      <c r="D90" s="29"/>
      <c r="E90" s="29"/>
      <c r="F90" s="25">
        <f>G90+J90</f>
        <v>54000</v>
      </c>
      <c r="G90" s="29"/>
      <c r="H90" s="29"/>
      <c r="I90" s="29"/>
      <c r="J90" s="25">
        <f>24000+30000+10900-10900</f>
        <v>54000</v>
      </c>
      <c r="K90" s="25">
        <f>24000+30000+10900-10900</f>
        <v>54000</v>
      </c>
      <c r="L90" s="29"/>
      <c r="M90" s="25">
        <f t="shared" si="9"/>
        <v>422856</v>
      </c>
    </row>
    <row r="91" spans="1:13" ht="28.5">
      <c r="A91" s="10">
        <v>210110</v>
      </c>
      <c r="B91" s="12" t="s">
        <v>42</v>
      </c>
      <c r="C91" s="14">
        <f>200000</f>
        <v>200000</v>
      </c>
      <c r="D91" s="14"/>
      <c r="E91" s="14"/>
      <c r="F91" s="14">
        <f t="shared" si="11"/>
        <v>30280</v>
      </c>
      <c r="G91" s="14"/>
      <c r="H91" s="14"/>
      <c r="I91" s="14"/>
      <c r="J91" s="14">
        <f>30280</f>
        <v>30280</v>
      </c>
      <c r="K91" s="14">
        <f>30280</f>
        <v>30280</v>
      </c>
      <c r="L91" s="14"/>
      <c r="M91" s="14">
        <f t="shared" si="9"/>
        <v>230280</v>
      </c>
    </row>
    <row r="92" spans="1:13" ht="15">
      <c r="A92" s="8">
        <v>240000</v>
      </c>
      <c r="B92" s="18" t="s">
        <v>43</v>
      </c>
      <c r="C92" s="13">
        <f aca="true" t="shared" si="14" ref="C92:L92">SUM(C93:C94)</f>
        <v>0</v>
      </c>
      <c r="D92" s="13">
        <f t="shared" si="14"/>
        <v>0</v>
      </c>
      <c r="E92" s="13">
        <f t="shared" si="14"/>
        <v>0</v>
      </c>
      <c r="F92" s="13">
        <f t="shared" si="14"/>
        <v>70722.89</v>
      </c>
      <c r="G92" s="13">
        <f t="shared" si="14"/>
        <v>70722.89</v>
      </c>
      <c r="H92" s="13">
        <f t="shared" si="14"/>
        <v>0</v>
      </c>
      <c r="I92" s="13">
        <f t="shared" si="14"/>
        <v>0</v>
      </c>
      <c r="J92" s="13">
        <f t="shared" si="14"/>
        <v>0</v>
      </c>
      <c r="K92" s="13">
        <f t="shared" si="14"/>
        <v>0</v>
      </c>
      <c r="L92" s="13">
        <f t="shared" si="14"/>
        <v>0</v>
      </c>
      <c r="M92" s="13">
        <f t="shared" si="9"/>
        <v>70722.89</v>
      </c>
    </row>
    <row r="93" spans="1:13" ht="28.5">
      <c r="A93" s="10">
        <v>240601</v>
      </c>
      <c r="B93" s="12" t="s">
        <v>44</v>
      </c>
      <c r="C93" s="14"/>
      <c r="D93" s="14"/>
      <c r="E93" s="14"/>
      <c r="F93" s="14">
        <f t="shared" si="11"/>
        <v>67500</v>
      </c>
      <c r="G93" s="14">
        <f>37600+29900</f>
        <v>67500</v>
      </c>
      <c r="H93" s="14"/>
      <c r="I93" s="14"/>
      <c r="J93" s="14"/>
      <c r="K93" s="14"/>
      <c r="L93" s="14"/>
      <c r="M93" s="14">
        <f t="shared" si="9"/>
        <v>67500</v>
      </c>
    </row>
    <row r="94" spans="1:13" ht="15">
      <c r="A94" s="10">
        <v>240602</v>
      </c>
      <c r="B94" s="12" t="s">
        <v>65</v>
      </c>
      <c r="C94" s="14"/>
      <c r="D94" s="14"/>
      <c r="E94" s="14"/>
      <c r="F94" s="14">
        <f t="shared" si="11"/>
        <v>3222.8899999999994</v>
      </c>
      <c r="G94" s="14">
        <f>30000+3122.89-29900</f>
        <v>3222.8899999999994</v>
      </c>
      <c r="H94" s="14"/>
      <c r="I94" s="14"/>
      <c r="J94" s="14"/>
      <c r="K94" s="14"/>
      <c r="L94" s="14"/>
      <c r="M94" s="14">
        <f t="shared" si="9"/>
        <v>3222.8899999999994</v>
      </c>
    </row>
    <row r="95" spans="1:13" ht="30">
      <c r="A95" s="8">
        <v>250000</v>
      </c>
      <c r="B95" s="18" t="s">
        <v>45</v>
      </c>
      <c r="C95" s="13">
        <f aca="true" t="shared" si="15" ref="C95:J95">SUM(C96:C99)</f>
        <v>942814.1799999999</v>
      </c>
      <c r="D95" s="13">
        <f t="shared" si="15"/>
        <v>0</v>
      </c>
      <c r="E95" s="13">
        <f t="shared" si="15"/>
        <v>0</v>
      </c>
      <c r="F95" s="13">
        <f t="shared" si="15"/>
        <v>1552247.8</v>
      </c>
      <c r="G95" s="13">
        <f t="shared" si="15"/>
        <v>0</v>
      </c>
      <c r="H95" s="13">
        <f t="shared" si="15"/>
        <v>0</v>
      </c>
      <c r="I95" s="13">
        <f t="shared" si="15"/>
        <v>0</v>
      </c>
      <c r="J95" s="13">
        <f t="shared" si="15"/>
        <v>1552247.8</v>
      </c>
      <c r="K95" s="13">
        <f>SUM(K96:K99)</f>
        <v>1552247.8</v>
      </c>
      <c r="L95" s="13">
        <f>SUM(L96:L98)</f>
        <v>0</v>
      </c>
      <c r="M95" s="13">
        <f t="shared" si="9"/>
        <v>2495061.98</v>
      </c>
    </row>
    <row r="96" spans="1:13" ht="15">
      <c r="A96" s="10">
        <v>250102</v>
      </c>
      <c r="B96" s="12" t="s">
        <v>46</v>
      </c>
      <c r="C96" s="14">
        <f>100000-11656.58-24892-55000-8451+200000-196964</f>
        <v>3036.4199999999837</v>
      </c>
      <c r="D96" s="14"/>
      <c r="E96" s="14"/>
      <c r="F96" s="14">
        <f t="shared" si="11"/>
        <v>0</v>
      </c>
      <c r="G96" s="14"/>
      <c r="H96" s="14"/>
      <c r="I96" s="14"/>
      <c r="J96" s="14"/>
      <c r="K96" s="14"/>
      <c r="L96" s="14"/>
      <c r="M96" s="14">
        <f t="shared" si="9"/>
        <v>3036.4199999999837</v>
      </c>
    </row>
    <row r="97" spans="1:13" ht="42.75">
      <c r="A97" s="30">
        <v>250403</v>
      </c>
      <c r="B97" s="12" t="s">
        <v>93</v>
      </c>
      <c r="C97" s="14">
        <f>549224.24+1170.46+13878.22+900+18000+209248.22+43.51+13.31+288-4480</f>
        <v>788285.96</v>
      </c>
      <c r="D97" s="14"/>
      <c r="E97" s="25"/>
      <c r="F97" s="14">
        <f t="shared" si="11"/>
        <v>287290.8</v>
      </c>
      <c r="G97" s="14"/>
      <c r="H97" s="14"/>
      <c r="I97" s="14"/>
      <c r="J97" s="14">
        <f>74136+213154.8</f>
        <v>287290.8</v>
      </c>
      <c r="K97" s="14">
        <f>74136+213154.8</f>
        <v>287290.8</v>
      </c>
      <c r="L97" s="14"/>
      <c r="M97" s="14">
        <f t="shared" si="9"/>
        <v>1075576.76</v>
      </c>
    </row>
    <row r="98" spans="1:13" ht="15">
      <c r="A98" s="10">
        <v>250404</v>
      </c>
      <c r="B98" s="12" t="s">
        <v>47</v>
      </c>
      <c r="C98" s="25">
        <f>310637-59145.2-100000</f>
        <v>151491.8</v>
      </c>
      <c r="D98" s="14"/>
      <c r="E98" s="14"/>
      <c r="F98" s="14">
        <f t="shared" si="11"/>
        <v>0</v>
      </c>
      <c r="G98" s="14"/>
      <c r="H98" s="14"/>
      <c r="I98" s="14"/>
      <c r="J98" s="14">
        <f>20000-20000</f>
        <v>0</v>
      </c>
      <c r="K98" s="14">
        <f>20000-20000</f>
        <v>0</v>
      </c>
      <c r="L98" s="14"/>
      <c r="M98" s="14">
        <f t="shared" si="9"/>
        <v>151491.8</v>
      </c>
    </row>
    <row r="99" spans="1:13" ht="57">
      <c r="A99" s="38">
        <v>250344</v>
      </c>
      <c r="B99" s="39" t="s">
        <v>106</v>
      </c>
      <c r="C99" s="25"/>
      <c r="D99" s="14"/>
      <c r="E99" s="14"/>
      <c r="F99" s="14">
        <f t="shared" si="11"/>
        <v>1264957</v>
      </c>
      <c r="G99" s="14"/>
      <c r="H99" s="14"/>
      <c r="I99" s="14"/>
      <c r="J99" s="14">
        <f>480000+784957</f>
        <v>1264957</v>
      </c>
      <c r="K99" s="14">
        <f>480000+784957</f>
        <v>1264957</v>
      </c>
      <c r="L99" s="14"/>
      <c r="M99" s="14">
        <f t="shared" si="9"/>
        <v>1264957</v>
      </c>
    </row>
    <row r="100" spans="1:13" ht="15">
      <c r="A100" s="53" t="s">
        <v>51</v>
      </c>
      <c r="B100" s="54"/>
      <c r="C100" s="13">
        <f aca="true" t="shared" si="16" ref="C100:L100">C95+C92+C88+C79+C76+C73+C70+C64+C59+C22+C13+C11+C86</f>
        <v>127698696.41</v>
      </c>
      <c r="D100" s="13">
        <f t="shared" si="16"/>
        <v>38303138</v>
      </c>
      <c r="E100" s="13">
        <f t="shared" si="16"/>
        <v>4319275</v>
      </c>
      <c r="F100" s="13">
        <f t="shared" si="16"/>
        <v>25343266.08</v>
      </c>
      <c r="G100" s="13">
        <f t="shared" si="16"/>
        <v>8444854.71</v>
      </c>
      <c r="H100" s="13">
        <f t="shared" si="16"/>
        <v>646136</v>
      </c>
      <c r="I100" s="13">
        <f t="shared" si="16"/>
        <v>126407</v>
      </c>
      <c r="J100" s="13">
        <f t="shared" si="16"/>
        <v>16898411.37</v>
      </c>
      <c r="K100" s="13">
        <f>K95+K92+K88+K86+K79+K76+K73+K70+K64+K59+K22+K13+K11</f>
        <v>13586627.8</v>
      </c>
      <c r="L100" s="13">
        <f t="shared" si="16"/>
        <v>50000</v>
      </c>
      <c r="M100" s="13">
        <f t="shared" si="9"/>
        <v>153041962.49</v>
      </c>
    </row>
    <row r="101" spans="3:11" ht="15">
      <c r="C101" s="15"/>
      <c r="D101" s="15"/>
      <c r="E101" s="15"/>
      <c r="F101" s="15"/>
      <c r="K101" s="15"/>
    </row>
    <row r="102" spans="2:7" ht="15">
      <c r="B102" s="1" t="s">
        <v>48</v>
      </c>
      <c r="D102" s="55"/>
      <c r="E102" s="55"/>
      <c r="G102" s="1" t="s">
        <v>49</v>
      </c>
    </row>
    <row r="103" spans="2:7" ht="15">
      <c r="B103" s="1"/>
      <c r="D103" s="37"/>
      <c r="E103" s="37"/>
      <c r="F103" s="15"/>
      <c r="G103" s="1"/>
    </row>
  </sheetData>
  <sheetProtection/>
  <mergeCells count="22">
    <mergeCell ref="A6:A9"/>
    <mergeCell ref="B6:B9"/>
    <mergeCell ref="A100:B100"/>
    <mergeCell ref="D102:E102"/>
    <mergeCell ref="J2:M2"/>
    <mergeCell ref="A4:M4"/>
    <mergeCell ref="C6:E6"/>
    <mergeCell ref="I8:I9"/>
    <mergeCell ref="G7:G9"/>
    <mergeCell ref="H7:I7"/>
    <mergeCell ref="E8:E9"/>
    <mergeCell ref="C7:C9"/>
    <mergeCell ref="A3:M3"/>
    <mergeCell ref="K7:L7"/>
    <mergeCell ref="M6:M9"/>
    <mergeCell ref="F7:F9"/>
    <mergeCell ref="H8:H9"/>
    <mergeCell ref="D7:E7"/>
    <mergeCell ref="J7:J9"/>
    <mergeCell ref="F6:L6"/>
    <mergeCell ref="K8:K9"/>
    <mergeCell ref="D8:D9"/>
  </mergeCells>
  <printOptions/>
  <pageMargins left="0.11811023622047245" right="0" top="0.1968503937007874" bottom="0.3937007874015748" header="0" footer="0"/>
  <pageSetup horizontalDpi="600" verticalDpi="600" orientation="landscape"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2014-07-11T14:08:50Z</cp:lastPrinted>
  <dcterms:created xsi:type="dcterms:W3CDTF">2010-04-28T10:22:23Z</dcterms:created>
  <dcterms:modified xsi:type="dcterms:W3CDTF">2014-10-21T06:24:59Z</dcterms:modified>
  <cp:category/>
  <cp:version/>
  <cp:contentType/>
  <cp:contentStatus/>
</cp:coreProperties>
</file>