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640" activeTab="0"/>
  </bookViews>
  <sheets>
    <sheet name="Лист1" sheetId="1" r:id="rId1"/>
  </sheets>
  <externalReferences>
    <externalReference r:id="rId4"/>
  </externalReferences>
  <definedNames>
    <definedName name="_xlnm.Print_Titles" localSheetId="0">'Лист1'!$7:$10</definedName>
    <definedName name="_xlnm.Print_Area" localSheetId="0">'Лист1'!$A$1:$O$100</definedName>
  </definedNames>
  <calcPr fullCalcOnLoad="1"/>
</workbook>
</file>

<file path=xl/sharedStrings.xml><?xml version="1.0" encoding="utf-8"?>
<sst xmlns="http://schemas.openxmlformats.org/spreadsheetml/2006/main" count="270" uniqueCount="205">
  <si>
    <t>РОЗПОДІЛ</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</si>
  <si>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</si>
  <si>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</si>
  <si>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</si>
  <si>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</si>
  <si>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</si>
  <si>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</si>
  <si>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</si>
  <si>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</si>
  <si>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</si>
  <si>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</si>
  <si>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</si>
  <si>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</si>
  <si>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</si>
  <si>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</si>
  <si>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Виконавчий комітет міської ради</t>
  </si>
  <si>
    <t>010116</t>
  </si>
  <si>
    <t>0111</t>
  </si>
  <si>
    <t>091101</t>
  </si>
  <si>
    <t>1040</t>
  </si>
  <si>
    <t>Утримання центрів соціальних служб для сім`ї, дітей та молоді</t>
  </si>
  <si>
    <t>091106</t>
  </si>
  <si>
    <t>Інші видатки</t>
  </si>
  <si>
    <t>100203</t>
  </si>
  <si>
    <t>0620</t>
  </si>
  <si>
    <t>110502</t>
  </si>
  <si>
    <t>0829</t>
  </si>
  <si>
    <t>Інші культурно-освітні заклади та заходи</t>
  </si>
  <si>
    <t>120100</t>
  </si>
  <si>
    <t>0830</t>
  </si>
  <si>
    <t>Телебачення і радіомовлення</t>
  </si>
  <si>
    <t>120201</t>
  </si>
  <si>
    <t>Періодичні видання (газети та журнали)</t>
  </si>
  <si>
    <t>130102</t>
  </si>
  <si>
    <t>0810</t>
  </si>
  <si>
    <t>Проведення навчально-тренувальних зборів і змагань</t>
  </si>
  <si>
    <t>210110</t>
  </si>
  <si>
    <t>0320</t>
  </si>
  <si>
    <t>Заходи з організації рятування на водах</t>
  </si>
  <si>
    <t>250404</t>
  </si>
  <si>
    <t>0133</t>
  </si>
  <si>
    <t>10</t>
  </si>
  <si>
    <t>Управління освіти виконавчого комітету міської ради</t>
  </si>
  <si>
    <t>070101</t>
  </si>
  <si>
    <t>0910</t>
  </si>
  <si>
    <t>Дошкільні заклади освіти</t>
  </si>
  <si>
    <t>070201</t>
  </si>
  <si>
    <t>0921</t>
  </si>
  <si>
    <t>Загальноосвітні школи (в т. ч. школа-дитячий садок, інтернат при школі), спеціалізовані школи, ліцеї, гімназії, колегіуми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</si>
  <si>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</si>
  <si>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</si>
  <si>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</si>
  <si>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</si>
  <si>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</si>
  <si>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</si>
  <si>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070804</t>
  </si>
  <si>
    <t>Централізовані бухгалтерії обласних, міських, районних відділів освіти</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</si>
  <si>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</si>
  <si>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</si>
  <si>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</si>
  <si>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</si>
  <si>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</si>
  <si>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</si>
  <si>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</si>
  <si>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Управління  соціального захисту населення виконавчого комітету міської ради</t>
  </si>
  <si>
    <t>070303</t>
  </si>
  <si>
    <t>Дитячі будинки (в т. ч. сімейного типу, прийомні сім`ї)</t>
  </si>
  <si>
    <t>090201</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</si>
  <si>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</si>
  <si>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</si>
  <si>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</si>
  <si>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</si>
  <si>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</si>
  <si>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</si>
  <si>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</si>
  <si>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</si>
  <si>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</si>
  <si>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</si>
  <si>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</si>
  <si>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</si>
  <si>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</si>
  <si>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</si>
  <si>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</si>
  <si>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</si>
  <si>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</si>
  <si>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</si>
  <si>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</si>
  <si>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</si>
  <si>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</si>
  <si>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</si>
  <si>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</si>
  <si>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</si>
  <si>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</si>
  <si>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</si>
  <si>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</si>
  <si>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</si>
  <si>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</si>
  <si>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</si>
  <si>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</si>
  <si>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</si>
  <si>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</si>
  <si>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</si>
  <si>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</si>
  <si>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</si>
  <si>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</si>
  <si>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</si>
  <si>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</si>
  <si>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</si>
  <si>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</si>
  <si>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1090</t>
  </si>
  <si>
    <t>Інші видатки на соціальний захист населення</t>
  </si>
  <si>
    <t>090413</t>
  </si>
  <si>
    <t>1010</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</si>
  <si>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</si>
  <si>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</si>
  <si>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</si>
  <si>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091103</t>
  </si>
  <si>
    <t>Соціальні програми і заходи державних органів у справах молоді</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</si>
  <si>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</si>
  <si>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</si>
  <si>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</si>
  <si>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</si>
  <si>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</si>
  <si>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</si>
  <si>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</si>
  <si>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</si>
  <si>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</si>
  <si>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</si>
  <si>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</si>
  <si>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</si>
  <si>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</si>
  <si>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170102</t>
  </si>
  <si>
    <t>Компенсаційні виплати на пільговий проїзд автомобільним транспортом окремим категоріям громадян</t>
  </si>
  <si>
    <t>170103</t>
  </si>
  <si>
    <t>0451</t>
  </si>
  <si>
    <t>Інші заходи у сфері автомобільного транспорту</t>
  </si>
  <si>
    <t>170302</t>
  </si>
  <si>
    <t>Компенсаційні виплати за пільговий проїзд окремих категорій громадян на залізничному транспорті</t>
  </si>
  <si>
    <t>24</t>
  </si>
  <si>
    <t>Відділ культури, туризму та охорони культурної спадщини виконавчого комітету міської ради</t>
  </si>
  <si>
    <t>110201</t>
  </si>
  <si>
    <t>0824</t>
  </si>
  <si>
    <t>Бібліотеки</t>
  </si>
  <si>
    <t>110202</t>
  </si>
  <si>
    <t>Музеї і виставки</t>
  </si>
  <si>
    <t>110204</t>
  </si>
  <si>
    <t>0828</t>
  </si>
  <si>
    <t>Палаци і будинки культури, клуби та інші заклади клубного типу</t>
  </si>
  <si>
    <t>110205</t>
  </si>
  <si>
    <t>Школи естетичного виховання дітей</t>
  </si>
  <si>
    <t xml:space="preserve"> </t>
  </si>
  <si>
    <t>Секретар міської ради</t>
  </si>
  <si>
    <t>О.Д.Степанишин</t>
  </si>
  <si>
    <t>видатків бюджету м.Старокостянтинів на 2015 рік</t>
  </si>
  <si>
    <t>Фінансове управління виконавчого комітету міської ради</t>
  </si>
  <si>
    <t>видатки розвитку - 2610</t>
  </si>
  <si>
    <t>Кризовий центр</t>
  </si>
  <si>
    <t>Регіональний центр раннього розвитку дитини</t>
  </si>
  <si>
    <t>Комбінат комунальних підприємств</t>
  </si>
  <si>
    <t>Комунальне ремонтно-будівельне шляхове підприємство</t>
  </si>
  <si>
    <t>МКП "Міськсвітло"</t>
  </si>
  <si>
    <t>Благоустрій міст, сіл, селищ - всього, з них:</t>
  </si>
  <si>
    <t>Інші видатки - всього, з них:</t>
  </si>
  <si>
    <t>Органи місцевого самоврядування - всього, з них:</t>
  </si>
  <si>
    <t>Управління соціального захисту виконавчого комітету міської ради</t>
  </si>
  <si>
    <t>Видатки на покриття інших заборгованостей, що виникли в попередні роки</t>
  </si>
  <si>
    <t>250403</t>
  </si>
  <si>
    <t>Охорона та раціональне використання природних ресурсів - всього, з них:</t>
  </si>
  <si>
    <t>Утилізація відходів - всього, з них:</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</si>
  <si>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</si>
  <si>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Капітальні вкладення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</si>
  <si>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</si>
  <si>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Резервний фонд</t>
  </si>
  <si>
    <t>Допомога до досягнення дитиною трирічного віку</t>
  </si>
  <si>
    <t>090414</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</si>
  <si>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</si>
  <si>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Пільги багатодітним сім"ям на придбання твердого палива та скрапленого газу</t>
  </si>
  <si>
    <t>090216</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</si>
  <si>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</si>
  <si>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090202</t>
  </si>
  <si>
    <t>додаток1</t>
  </si>
  <si>
    <t>додаток 1</t>
  </si>
  <si>
    <t>контроль</t>
  </si>
  <si>
    <t>грн.</t>
  </si>
  <si>
    <t>Соціальні програми i заходи державних органiв у справах молоді</t>
  </si>
  <si>
    <t>Інші програми соціального захисту дітей</t>
  </si>
  <si>
    <t>090802</t>
  </si>
  <si>
    <t xml:space="preserve">Інші культурно-освітні заклади та заходи </t>
  </si>
  <si>
    <t>борг по 2270</t>
  </si>
  <si>
    <t>додаток №3 без субвенцій</t>
  </si>
  <si>
    <t>субвенції</t>
  </si>
  <si>
    <t>КФК 010116</t>
  </si>
  <si>
    <t>борг</t>
  </si>
  <si>
    <t>КФК 070000</t>
  </si>
  <si>
    <t>КФК 090000</t>
  </si>
  <si>
    <t>КФК 110000</t>
  </si>
  <si>
    <t>КФК 130000</t>
  </si>
  <si>
    <t xml:space="preserve">інші </t>
  </si>
  <si>
    <t xml:space="preserve"> в т.ч. борг</t>
  </si>
  <si>
    <t>КФК 250403</t>
  </si>
  <si>
    <t>перенесення із загального на спецфонд -50000-5037700-3662300=-8750000</t>
  </si>
  <si>
    <t>перенесення із загального на спецфонд +50000+5037700+3662300=+8750000</t>
  </si>
  <si>
    <t>перенесення із загального на спецфонд +50000+5037700=+5087700</t>
  </si>
  <si>
    <t>Додаток 3</t>
  </si>
  <si>
    <t>до  рішення 46 (позачергової) сесії міської ради від 14.01.2015р. № 2 "Про бюджет міста на 2015 рік"</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</si>
</sst>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23">
    <font>
      <sz val="11"/>
      <color indexed="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8"/>
      <color indexed="8"/>
      <name val="Calibri"/>
      <family val="2"/>
    </font>
    <font>
      <u val="single"/>
      <sz val="11"/>
      <color indexed="12"/>
      <name val="Calibri"/>
      <family val="2"/>
    </font>
    <font>
      <u val="single"/>
      <sz val="11"/>
      <color indexed="20"/>
      <name val="Calibri"/>
      <family val="2"/>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36">
    <xf numFmtId="0" fontId="0" fillId="0" borderId="0" xfId="0" applyAlignment="1">
      <alignment/>
    </xf>
    <xf numFmtId="0" fontId="9" fillId="0" borderId="0" xfId="0" applyFont="1" applyAlignment="1">
      <alignment horizontal="lef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right"/>
    </xf>
    <xf numFmtId="0" fontId="0" fillId="0" borderId="10" xfId="0" applyFill="1" applyBorder="1" applyAlignment="1">
      <alignment horizontal="center" vertical="center" wrapText="1"/>
    </xf>
    <xf numFmtId="49"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2" fontId="9" fillId="0" borderId="10" xfId="0" applyNumberFormat="1" applyFont="1" applyFill="1" applyBorder="1" applyAlignment="1" quotePrefix="1">
      <alignment vertical="center" wrapText="1"/>
    </xf>
    <xf numFmtId="2" fontId="9" fillId="0" borderId="10" xfId="0" applyNumberFormat="1" applyFont="1" applyFill="1" applyBorder="1" applyAlignment="1">
      <alignment vertical="center" wrapText="1"/>
    </xf>
    <xf numFmtId="0" fontId="0" fillId="0" borderId="10" xfId="0" applyFill="1" applyBorder="1" applyAlignment="1" quotePrefix="1">
      <alignment horizontal="center" vertical="center" wrapText="1"/>
    </xf>
    <xf numFmtId="2" fontId="0" fillId="0" borderId="10" xfId="0" applyNumberFormat="1" applyFill="1" applyBorder="1" applyAlignment="1" quotePrefix="1">
      <alignment horizontal="center" vertical="center" wrapText="1"/>
    </xf>
    <xf numFmtId="2" fontId="0" fillId="0" borderId="10" xfId="0" applyNumberFormat="1" applyFill="1" applyBorder="1" applyAlignment="1" quotePrefix="1">
      <alignment vertical="center" wrapText="1"/>
    </xf>
    <xf numFmtId="2" fontId="0" fillId="0" borderId="10" xfId="0" applyNumberFormat="1" applyFill="1" applyBorder="1" applyAlignment="1">
      <alignment vertical="center" wrapText="1"/>
    </xf>
    <xf numFmtId="0" fontId="9" fillId="0" borderId="10" xfId="0" applyFont="1" applyFill="1" applyBorder="1" applyAlignment="1" quotePrefix="1">
      <alignment horizontal="center" vertical="center" wrapText="1"/>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9"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10" xfId="0" applyFont="1" applyBorder="1" applyAlignment="1">
      <alignment vertical="top" wrapText="1"/>
    </xf>
    <xf numFmtId="2" fontId="0" fillId="0" borderId="0" xfId="0" applyNumberFormat="1" applyAlignment="1">
      <alignment/>
    </xf>
    <xf numFmtId="4" fontId="0" fillId="0" borderId="0" xfId="0" applyNumberFormat="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Fill="1" applyAlignment="1">
      <alignment horizontal="center"/>
    </xf>
    <xf numFmtId="0" fontId="22" fillId="0" borderId="0" xfId="0" applyFont="1" applyAlignment="1">
      <alignment/>
    </xf>
    <xf numFmtId="1" fontId="0" fillId="0" borderId="0" xfId="0" applyNumberFormat="1" applyAlignment="1">
      <alignment/>
    </xf>
    <xf numFmtId="0" fontId="22" fillId="0" borderId="0" xfId="0" applyFont="1" applyAlignment="1">
      <alignment vertical="top" wrapText="1"/>
    </xf>
    <xf numFmtId="0" fontId="22" fillId="0" borderId="0" xfId="0" applyFont="1" applyAlignment="1">
      <alignment/>
    </xf>
    <xf numFmtId="0" fontId="0" fillId="0" borderId="10" xfId="0" applyFill="1" applyBorder="1" applyAlignment="1">
      <alignment horizontal="center" vertical="center" wrapText="1"/>
    </xf>
    <xf numFmtId="0" fontId="0" fillId="0" borderId="0" xfId="0" applyAlignment="1">
      <alignment vertical="top" wrapText="1"/>
    </xf>
    <xf numFmtId="0" fontId="0" fillId="0" borderId="0" xfId="0" applyAlignment="1">
      <alignment/>
    </xf>
    <xf numFmtId="49" fontId="1" fillId="0" borderId="0" xfId="0" applyNumberFormat="1" applyFont="1" applyFill="1" applyAlignment="1">
      <alignment vertical="top" wrapText="1"/>
    </xf>
    <xf numFmtId="49" fontId="0" fillId="0" borderId="0" xfId="0" applyNumberFormat="1" applyFill="1" applyAlignment="1">
      <alignment vertical="top" wrapText="1"/>
    </xf>
    <xf numFmtId="0" fontId="0" fillId="0" borderId="0" xfId="0" applyFill="1" applyAlignment="1">
      <alignment/>
    </xf>
    <xf numFmtId="0" fontId="19"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1_&#1073;&#1102;&#1076;&#1078;&#1077;&#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1"/>
    </sheetNames>
    <sheetDataSet>
      <sheetData sheetId="0">
        <row r="21">
          <cell r="C21">
            <v>5700000</v>
          </cell>
        </row>
        <row r="62">
          <cell r="E62">
            <v>2519102</v>
          </cell>
        </row>
        <row r="80">
          <cell r="C80">
            <v>39117270</v>
          </cell>
        </row>
        <row r="81">
          <cell r="C81">
            <v>29172800</v>
          </cell>
        </row>
        <row r="82">
          <cell r="C82">
            <v>2147469.2</v>
          </cell>
        </row>
        <row r="83">
          <cell r="C83">
            <v>24000</v>
          </cell>
        </row>
        <row r="85">
          <cell r="C85">
            <v>26742</v>
          </cell>
        </row>
        <row r="86">
          <cell r="C86">
            <v>360950</v>
          </cell>
        </row>
        <row r="87">
          <cell r="C87">
            <v>155568957.2</v>
          </cell>
          <cell r="D87">
            <v>152507731.2</v>
          </cell>
          <cell r="E87">
            <v>3061226</v>
          </cell>
          <cell r="F87">
            <v>541724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1"/>
  <sheetViews>
    <sheetView tabSelected="1" zoomScalePageLayoutView="0" workbookViewId="0" topLeftCell="A1">
      <pane xSplit="3" ySplit="11" topLeftCell="J100" activePane="bottomRight" state="frozen"/>
      <selection pane="topLeft" activeCell="A1" sqref="A1"/>
      <selection pane="topRight" activeCell="D1" sqref="D1"/>
      <selection pane="bottomLeft" activeCell="A12" sqref="A12"/>
      <selection pane="bottomRight" activeCell="R3" sqref="R3"/>
    </sheetView>
  </sheetViews>
  <sheetFormatPr defaultColWidth="9.140625" defaultRowHeight="15"/>
  <cols>
    <col min="1" max="1" width="12.00390625" style="0" customWidth="1"/>
    <col min="2" max="2" width="12.00390625" style="0" hidden="1" customWidth="1"/>
    <col min="3" max="3" width="40.7109375" style="0" customWidth="1"/>
    <col min="4" max="4" width="16.28125" style="0" customWidth="1"/>
    <col min="5" max="5" width="13.7109375" style="0" customWidth="1"/>
    <col min="6" max="7" width="11.57421875" style="0" customWidth="1"/>
    <col min="8" max="9" width="12.8515625" style="0" customWidth="1"/>
    <col min="10" max="10" width="12.57421875" style="0" customWidth="1"/>
    <col min="11" max="13" width="11.57421875" style="0" customWidth="1"/>
    <col min="14" max="14" width="14.28125" style="0" customWidth="1"/>
    <col min="15" max="15" width="15.8515625" style="0" customWidth="1"/>
    <col min="17" max="17" width="7.28125" style="0" customWidth="1"/>
    <col min="18" max="18" width="11.57421875" style="0" customWidth="1"/>
    <col min="19" max="19" width="10.421875" style="0" customWidth="1"/>
    <col min="20" max="20" width="10.28125" style="0" customWidth="1"/>
  </cols>
  <sheetData>
    <row r="1" spans="1:15" ht="15">
      <c r="A1" s="2"/>
      <c r="B1" s="2"/>
      <c r="C1" s="2"/>
      <c r="D1" s="2"/>
      <c r="E1" s="2"/>
      <c r="F1" s="2"/>
      <c r="G1" s="2"/>
      <c r="H1" s="2"/>
      <c r="I1" s="2"/>
      <c r="J1" s="2"/>
      <c r="K1" s="2"/>
      <c r="L1" s="2" t="s">
        <v>203</v>
      </c>
      <c r="M1" s="2"/>
      <c r="N1" s="2"/>
      <c r="O1" s="2"/>
    </row>
    <row r="2" spans="1:15" ht="15">
      <c r="A2" s="2"/>
      <c r="B2" s="2"/>
      <c r="C2" s="2"/>
      <c r="D2" s="2"/>
      <c r="E2" s="2"/>
      <c r="F2" s="2"/>
      <c r="G2" s="2"/>
      <c r="H2" s="2"/>
      <c r="I2" s="2"/>
      <c r="J2" s="2"/>
      <c r="K2" s="2"/>
      <c r="L2" s="32" t="s">
        <v>204</v>
      </c>
      <c r="M2" s="33"/>
      <c r="N2" s="34"/>
      <c r="O2" s="2"/>
    </row>
    <row r="3" spans="1:15" ht="30" customHeight="1">
      <c r="A3" s="2"/>
      <c r="B3" s="2"/>
      <c r="C3" s="2"/>
      <c r="D3" s="2"/>
      <c r="E3" s="2"/>
      <c r="F3" s="2"/>
      <c r="G3" s="2"/>
      <c r="H3" s="2"/>
      <c r="I3" s="2"/>
      <c r="J3" s="2"/>
      <c r="K3" s="2"/>
      <c r="L3" s="33"/>
      <c r="M3" s="33"/>
      <c r="N3" s="34"/>
      <c r="O3" s="2"/>
    </row>
    <row r="4" spans="1:15" ht="18.75">
      <c r="A4" s="2"/>
      <c r="B4" s="2"/>
      <c r="C4" s="2"/>
      <c r="D4" s="22"/>
      <c r="E4" s="22"/>
      <c r="F4" s="22" t="s">
        <v>0</v>
      </c>
      <c r="G4" s="22"/>
      <c r="H4" s="2"/>
      <c r="I4" s="2"/>
      <c r="J4" s="2"/>
      <c r="K4" s="2"/>
      <c r="L4" s="2"/>
      <c r="M4" s="2"/>
      <c r="N4" s="2"/>
      <c r="O4" s="2"/>
    </row>
    <row r="5" spans="1:15" ht="18.75">
      <c r="A5" s="3"/>
      <c r="B5" s="3"/>
      <c r="C5" s="3"/>
      <c r="D5" s="23" t="s">
        <v>153</v>
      </c>
      <c r="E5" s="24"/>
      <c r="F5" s="24"/>
      <c r="G5" s="24"/>
      <c r="H5" s="3"/>
      <c r="I5" s="3"/>
      <c r="J5" s="3"/>
      <c r="K5" s="3"/>
      <c r="L5" s="3"/>
      <c r="M5" s="3"/>
      <c r="N5" s="3"/>
      <c r="O5" s="3"/>
    </row>
    <row r="6" spans="1:15" ht="15">
      <c r="A6" s="2"/>
      <c r="B6" s="2"/>
      <c r="C6" s="2"/>
      <c r="D6" s="2"/>
      <c r="E6" s="2"/>
      <c r="F6" s="2"/>
      <c r="G6" s="2"/>
      <c r="H6" s="2"/>
      <c r="I6" s="2"/>
      <c r="J6" s="2"/>
      <c r="K6" s="2"/>
      <c r="L6" s="2"/>
      <c r="M6" s="2"/>
      <c r="N6" s="2"/>
      <c r="O6" s="4" t="s">
        <v>183</v>
      </c>
    </row>
    <row r="7" spans="1:18" ht="15" customHeight="1">
      <c r="A7" s="35" t="s">
        <v>1</v>
      </c>
      <c r="B7" s="35" t="s">
        <v>2</v>
      </c>
      <c r="C7" s="29" t="s">
        <v>3</v>
      </c>
      <c r="D7" s="29" t="s">
        <v>4</v>
      </c>
      <c r="E7" s="29"/>
      <c r="F7" s="29"/>
      <c r="G7" s="29"/>
      <c r="H7" s="29"/>
      <c r="I7" s="29" t="s">
        <v>11</v>
      </c>
      <c r="J7" s="29"/>
      <c r="K7" s="29"/>
      <c r="L7" s="29"/>
      <c r="M7" s="29"/>
      <c r="N7" s="29"/>
      <c r="O7" s="29" t="s">
        <v>13</v>
      </c>
      <c r="R7" t="s">
        <v>180</v>
      </c>
    </row>
    <row r="8" spans="1:15" ht="15">
      <c r="A8" s="29"/>
      <c r="B8" s="29"/>
      <c r="C8" s="29"/>
      <c r="D8" s="29" t="s">
        <v>5</v>
      </c>
      <c r="E8" s="29" t="s">
        <v>6</v>
      </c>
      <c r="F8" s="29" t="s">
        <v>7</v>
      </c>
      <c r="G8" s="29"/>
      <c r="H8" s="29" t="s">
        <v>155</v>
      </c>
      <c r="I8" s="29" t="s">
        <v>5</v>
      </c>
      <c r="J8" s="29" t="s">
        <v>6</v>
      </c>
      <c r="K8" s="29" t="s">
        <v>7</v>
      </c>
      <c r="L8" s="29"/>
      <c r="M8" s="29" t="s">
        <v>10</v>
      </c>
      <c r="N8" s="5" t="s">
        <v>7</v>
      </c>
      <c r="O8" s="29"/>
    </row>
    <row r="9" spans="1:15" ht="15">
      <c r="A9" s="29"/>
      <c r="B9" s="29"/>
      <c r="C9" s="29"/>
      <c r="D9" s="29"/>
      <c r="E9" s="29"/>
      <c r="F9" s="29" t="s">
        <v>8</v>
      </c>
      <c r="G9" s="29" t="s">
        <v>9</v>
      </c>
      <c r="H9" s="29"/>
      <c r="I9" s="29"/>
      <c r="J9" s="29"/>
      <c r="K9" s="29" t="s">
        <v>8</v>
      </c>
      <c r="L9" s="29" t="s">
        <v>9</v>
      </c>
      <c r="M9" s="29"/>
      <c r="N9" s="29" t="s">
        <v>12</v>
      </c>
      <c r="O9" s="29"/>
    </row>
    <row r="10" spans="1:15" ht="44.25" customHeight="1">
      <c r="A10" s="29"/>
      <c r="B10" s="29"/>
      <c r="C10" s="29"/>
      <c r="D10" s="29"/>
      <c r="E10" s="29"/>
      <c r="F10" s="29"/>
      <c r="G10" s="29"/>
      <c r="H10" s="29"/>
      <c r="I10" s="29"/>
      <c r="J10" s="29"/>
      <c r="K10" s="29"/>
      <c r="L10" s="29"/>
      <c r="M10" s="29"/>
      <c r="N10" s="29"/>
      <c r="O10" s="29"/>
    </row>
    <row r="11" spans="1:15" ht="15">
      <c r="A11" s="5">
        <v>1</v>
      </c>
      <c r="B11" s="5">
        <v>3</v>
      </c>
      <c r="C11" s="5">
        <v>2</v>
      </c>
      <c r="D11" s="5">
        <v>3</v>
      </c>
      <c r="E11" s="5">
        <v>4</v>
      </c>
      <c r="F11" s="5">
        <v>5</v>
      </c>
      <c r="G11" s="5">
        <v>6</v>
      </c>
      <c r="H11" s="5">
        <v>7</v>
      </c>
      <c r="I11" s="5">
        <v>8</v>
      </c>
      <c r="J11" s="5">
        <v>9</v>
      </c>
      <c r="K11" s="5">
        <v>10</v>
      </c>
      <c r="L11" s="5">
        <v>11</v>
      </c>
      <c r="M11" s="5">
        <v>12</v>
      </c>
      <c r="N11" s="5">
        <v>13</v>
      </c>
      <c r="O11" s="5">
        <v>14</v>
      </c>
    </row>
    <row r="12" spans="1:15" ht="15">
      <c r="A12" s="6" t="s">
        <v>14</v>
      </c>
      <c r="B12" s="7"/>
      <c r="C12" s="8" t="s">
        <v>15</v>
      </c>
      <c r="D12" s="9">
        <f aca="true" t="shared" si="0" ref="D12:D31">E12+H12</f>
        <v>15638086</v>
      </c>
      <c r="E12" s="9">
        <f>E13+E17+E18+E19+E20+E23+E27+E28+E29+E30+E31+E32+E33+E35+E37+E38+E39</f>
        <v>8853486</v>
      </c>
      <c r="F12" s="9">
        <f>F13+F17+F18+F19+F20+F23+F27+F28+F29+F30+F31+F32+F33+F35+F37+F38+F39</f>
        <v>5082890</v>
      </c>
      <c r="G12" s="9">
        <f>G13+G17+G18+G19+G20+G23+G27+G28+G29+G30+G31+G32+G33+G35+G37+G38+G39</f>
        <v>358086</v>
      </c>
      <c r="H12" s="9">
        <f>H13+H17+H18+H19+H20+H23+H27+H28+H29+H30+H31+H32+H33+H35+H37+H38+H39</f>
        <v>6784600</v>
      </c>
      <c r="I12" s="9">
        <f aca="true" t="shared" si="1" ref="I12:I31">J12+M12</f>
        <v>9302524</v>
      </c>
      <c r="J12" s="9">
        <f>J13+J17+J18+J19+J20+J23+J27+J28+J29+J30+J31+J32+J33+J35+J37+J38+J39</f>
        <v>31647</v>
      </c>
      <c r="K12" s="9">
        <f>K13+K17+K18+K19+K20+K23+K27+K28+K29+K30+K31+K32+K33+K35+K37+K38+K39</f>
        <v>7300</v>
      </c>
      <c r="L12" s="9">
        <f>L13+L17+L18+L19+L20+L23+L27+L28+L29+L30+L31+L32+L33+L35+L37+L38+L39</f>
        <v>2222</v>
      </c>
      <c r="M12" s="9">
        <f>M13+M17+M18+M19+M20+M23+M27+M28+M29+M30+M31+M32+M33+M35+M37+M38+M39</f>
        <v>9270877</v>
      </c>
      <c r="N12" s="9">
        <f>N13+N17+N18+N19+N20+N23+N27+N28+N29+N30+N31+N32+N33+N35+N37+N38+N39</f>
        <v>5579424</v>
      </c>
      <c r="O12" s="9">
        <f aca="true" t="shared" si="2" ref="O12:O39">D12+I12</f>
        <v>24940610</v>
      </c>
    </row>
    <row r="13" spans="1:15" ht="30">
      <c r="A13" s="10" t="s">
        <v>16</v>
      </c>
      <c r="B13" s="11" t="s">
        <v>17</v>
      </c>
      <c r="C13" s="12" t="s">
        <v>163</v>
      </c>
      <c r="D13" s="13">
        <f t="shared" si="0"/>
        <v>6807664.76</v>
      </c>
      <c r="E13" s="13">
        <f>SUM(E14:E16)</f>
        <v>6807664.76</v>
      </c>
      <c r="F13" s="13">
        <f>SUM(F14:F16)</f>
        <v>4708260</v>
      </c>
      <c r="G13" s="13">
        <f>SUM(G14:G16)</f>
        <v>237621.08000000002</v>
      </c>
      <c r="H13" s="13">
        <f>SUM(H14:H16)</f>
        <v>0</v>
      </c>
      <c r="I13" s="13">
        <f t="shared" si="1"/>
        <v>32400</v>
      </c>
      <c r="J13" s="13">
        <f>SUM(J14:J16)</f>
        <v>11247</v>
      </c>
      <c r="K13" s="13">
        <f>SUM(K14:K16)</f>
        <v>0</v>
      </c>
      <c r="L13" s="13">
        <f>SUM(L14:L16)</f>
        <v>2222</v>
      </c>
      <c r="M13" s="13">
        <f>SUM(M14:M16)</f>
        <v>21153</v>
      </c>
      <c r="N13" s="13">
        <f>SUM(N14:N16)</f>
        <v>0</v>
      </c>
      <c r="O13" s="13">
        <f t="shared" si="2"/>
        <v>6840064.76</v>
      </c>
    </row>
    <row r="14" spans="1:15" ht="15">
      <c r="A14" s="10" t="s">
        <v>16</v>
      </c>
      <c r="B14" s="11"/>
      <c r="C14" s="15" t="s">
        <v>15</v>
      </c>
      <c r="D14" s="13">
        <f t="shared" si="0"/>
        <v>4333106.46</v>
      </c>
      <c r="E14" s="13">
        <f>4431872-98765.54</f>
        <v>4333106.46</v>
      </c>
      <c r="F14" s="13">
        <f>2987000</f>
        <v>2987000</v>
      </c>
      <c r="G14" s="13">
        <f>225125-58719.59</f>
        <v>166405.41</v>
      </c>
      <c r="H14" s="13"/>
      <c r="I14" s="13">
        <f t="shared" si="1"/>
        <v>0</v>
      </c>
      <c r="J14" s="13"/>
      <c r="K14" s="13"/>
      <c r="L14" s="13"/>
      <c r="M14" s="13"/>
      <c r="N14" s="13"/>
      <c r="O14" s="13">
        <f t="shared" si="2"/>
        <v>4333106.46</v>
      </c>
    </row>
    <row r="15" spans="1:20" ht="30">
      <c r="A15" s="10" t="s">
        <v>16</v>
      </c>
      <c r="B15" s="11"/>
      <c r="C15" s="15" t="s">
        <v>164</v>
      </c>
      <c r="D15" s="13">
        <f t="shared" si="0"/>
        <v>1795754.8</v>
      </c>
      <c r="E15" s="13">
        <f>1816314-20559.2</f>
        <v>1795754.8</v>
      </c>
      <c r="F15" s="13">
        <f>1255000</f>
        <v>1255000</v>
      </c>
      <c r="G15" s="13">
        <f>65264-14983.33</f>
        <v>50280.67</v>
      </c>
      <c r="H15" s="13"/>
      <c r="I15" s="13">
        <f t="shared" si="1"/>
        <v>32400</v>
      </c>
      <c r="J15" s="13">
        <f>11247</f>
        <v>11247</v>
      </c>
      <c r="K15" s="13"/>
      <c r="L15" s="13">
        <f>2222</f>
        <v>2222</v>
      </c>
      <c r="M15" s="13">
        <f>21153</f>
        <v>21153</v>
      </c>
      <c r="N15" s="13"/>
      <c r="O15" s="13">
        <f t="shared" si="2"/>
        <v>1828154.8</v>
      </c>
      <c r="S15">
        <f>32400</f>
        <v>32400</v>
      </c>
      <c r="T15" s="20">
        <f>S15-I15</f>
        <v>0</v>
      </c>
    </row>
    <row r="16" spans="1:15" ht="30">
      <c r="A16" s="10" t="s">
        <v>16</v>
      </c>
      <c r="B16" s="11"/>
      <c r="C16" s="15" t="s">
        <v>154</v>
      </c>
      <c r="D16" s="13">
        <f t="shared" si="0"/>
        <v>678803.5</v>
      </c>
      <c r="E16" s="13">
        <f>680476-1672.5</f>
        <v>678803.5</v>
      </c>
      <c r="F16" s="13">
        <f>466260</f>
        <v>466260</v>
      </c>
      <c r="G16" s="13">
        <f>20935</f>
        <v>20935</v>
      </c>
      <c r="H16" s="13"/>
      <c r="I16" s="13">
        <f t="shared" si="1"/>
        <v>0</v>
      </c>
      <c r="J16" s="13"/>
      <c r="K16" s="13"/>
      <c r="L16" s="13"/>
      <c r="M16" s="13"/>
      <c r="N16" s="13"/>
      <c r="O16" s="13">
        <f t="shared" si="2"/>
        <v>678803.5</v>
      </c>
    </row>
    <row r="17" spans="1:15" ht="15">
      <c r="A17" s="10" t="s">
        <v>186</v>
      </c>
      <c r="B17" s="11"/>
      <c r="C17" s="16" t="s">
        <v>185</v>
      </c>
      <c r="D17" s="13">
        <f t="shared" si="0"/>
        <v>5000</v>
      </c>
      <c r="E17" s="13">
        <f>5000</f>
        <v>5000</v>
      </c>
      <c r="F17" s="13"/>
      <c r="G17" s="13"/>
      <c r="H17" s="13"/>
      <c r="I17" s="13">
        <f t="shared" si="1"/>
        <v>0</v>
      </c>
      <c r="J17" s="13"/>
      <c r="K17" s="13"/>
      <c r="L17" s="13"/>
      <c r="M17" s="13"/>
      <c r="N17" s="13"/>
      <c r="O17" s="13">
        <f t="shared" si="2"/>
        <v>5000</v>
      </c>
    </row>
    <row r="18" spans="1:15" ht="30">
      <c r="A18" s="10" t="s">
        <v>18</v>
      </c>
      <c r="B18" s="11" t="s">
        <v>19</v>
      </c>
      <c r="C18" s="12" t="s">
        <v>20</v>
      </c>
      <c r="D18" s="13">
        <f t="shared" si="0"/>
        <v>220178.67</v>
      </c>
      <c r="E18" s="13">
        <f>228324-8145.33</f>
        <v>220178.67</v>
      </c>
      <c r="F18" s="13">
        <f>150000</f>
        <v>150000</v>
      </c>
      <c r="G18" s="13">
        <f>21974-7139.44</f>
        <v>14834.560000000001</v>
      </c>
      <c r="H18" s="13"/>
      <c r="I18" s="13">
        <f t="shared" si="1"/>
        <v>0</v>
      </c>
      <c r="J18" s="13"/>
      <c r="K18" s="13"/>
      <c r="L18" s="13"/>
      <c r="M18" s="13"/>
      <c r="N18" s="13"/>
      <c r="O18" s="13">
        <f t="shared" si="2"/>
        <v>220178.67</v>
      </c>
    </row>
    <row r="19" spans="1:15" ht="30">
      <c r="A19" s="10" t="s">
        <v>116</v>
      </c>
      <c r="B19" s="11"/>
      <c r="C19" s="16" t="s">
        <v>184</v>
      </c>
      <c r="D19" s="13">
        <f t="shared" si="0"/>
        <v>4425</v>
      </c>
      <c r="E19" s="13">
        <f>5000-575</f>
        <v>4425</v>
      </c>
      <c r="F19" s="13"/>
      <c r="G19" s="13"/>
      <c r="H19" s="13"/>
      <c r="I19" s="13">
        <f t="shared" si="1"/>
        <v>0</v>
      </c>
      <c r="J19" s="13"/>
      <c r="K19" s="13"/>
      <c r="L19" s="13"/>
      <c r="M19" s="13"/>
      <c r="N19" s="13"/>
      <c r="O19" s="13">
        <f t="shared" si="2"/>
        <v>4425</v>
      </c>
    </row>
    <row r="20" spans="1:15" ht="15">
      <c r="A20" s="10" t="s">
        <v>21</v>
      </c>
      <c r="B20" s="11" t="s">
        <v>19</v>
      </c>
      <c r="C20" s="12" t="s">
        <v>162</v>
      </c>
      <c r="D20" s="13">
        <f t="shared" si="0"/>
        <v>317141.74</v>
      </c>
      <c r="E20" s="13">
        <f>SUM(E21:E22)</f>
        <v>317141.74</v>
      </c>
      <c r="F20" s="13">
        <f>SUM(F21:F22)</f>
        <v>224630</v>
      </c>
      <c r="G20" s="13">
        <f>SUM(G21:G22)</f>
        <v>17946.63</v>
      </c>
      <c r="H20" s="13">
        <f>SUM(H21:H22)</f>
        <v>0</v>
      </c>
      <c r="I20" s="13">
        <f t="shared" si="1"/>
        <v>28000</v>
      </c>
      <c r="J20" s="13">
        <f>SUM(J21:J22)</f>
        <v>20000</v>
      </c>
      <c r="K20" s="13">
        <f>SUM(K21:K22)</f>
        <v>7300</v>
      </c>
      <c r="L20" s="13">
        <f>SUM(L21:L22)</f>
        <v>0</v>
      </c>
      <c r="M20" s="13">
        <f>SUM(M21:M22)</f>
        <v>8000</v>
      </c>
      <c r="N20" s="13">
        <f>SUM(N21:N22)</f>
        <v>0</v>
      </c>
      <c r="O20" s="13">
        <f t="shared" si="2"/>
        <v>345141.74</v>
      </c>
    </row>
    <row r="21" spans="1:15" ht="15">
      <c r="A21" s="10" t="s">
        <v>21</v>
      </c>
      <c r="B21" s="11"/>
      <c r="C21" s="16" t="s">
        <v>156</v>
      </c>
      <c r="D21" s="13">
        <f t="shared" si="0"/>
        <v>167041.74</v>
      </c>
      <c r="E21" s="13">
        <f>176000-8958.26</f>
        <v>167041.74</v>
      </c>
      <c r="F21" s="13">
        <f>114630</f>
        <v>114630</v>
      </c>
      <c r="G21" s="13">
        <f>24788-6841.37</f>
        <v>17946.63</v>
      </c>
      <c r="H21" s="13"/>
      <c r="I21" s="13">
        <f t="shared" si="1"/>
        <v>0</v>
      </c>
      <c r="J21" s="13"/>
      <c r="K21" s="13"/>
      <c r="L21" s="13"/>
      <c r="M21" s="13"/>
      <c r="N21" s="13"/>
      <c r="O21" s="13">
        <f t="shared" si="2"/>
        <v>167041.74</v>
      </c>
    </row>
    <row r="22" spans="1:20" ht="30">
      <c r="A22" s="10" t="s">
        <v>21</v>
      </c>
      <c r="B22" s="11"/>
      <c r="C22" s="16" t="s">
        <v>157</v>
      </c>
      <c r="D22" s="13">
        <f t="shared" si="0"/>
        <v>150100</v>
      </c>
      <c r="E22" s="13">
        <f>150100</f>
        <v>150100</v>
      </c>
      <c r="F22" s="13">
        <f>110000</f>
        <v>110000</v>
      </c>
      <c r="G22" s="13"/>
      <c r="H22" s="13"/>
      <c r="I22" s="13">
        <f t="shared" si="1"/>
        <v>28000</v>
      </c>
      <c r="J22" s="13">
        <f>20000</f>
        <v>20000</v>
      </c>
      <c r="K22" s="13">
        <f>7300</f>
        <v>7300</v>
      </c>
      <c r="L22" s="13"/>
      <c r="M22" s="13">
        <f>8000</f>
        <v>8000</v>
      </c>
      <c r="N22" s="13"/>
      <c r="O22" s="13">
        <f t="shared" si="2"/>
        <v>178100</v>
      </c>
      <c r="S22">
        <f>28000</f>
        <v>28000</v>
      </c>
      <c r="T22" s="20">
        <f>S22-I22</f>
        <v>0</v>
      </c>
    </row>
    <row r="23" spans="1:15" ht="30">
      <c r="A23" s="10" t="s">
        <v>23</v>
      </c>
      <c r="B23" s="11" t="s">
        <v>24</v>
      </c>
      <c r="C23" s="12" t="s">
        <v>161</v>
      </c>
      <c r="D23" s="13">
        <f t="shared" si="0"/>
        <v>4746900</v>
      </c>
      <c r="E23" s="13">
        <f>SUM(E24:E26)</f>
        <v>0</v>
      </c>
      <c r="F23" s="13">
        <f>SUM(F24:F26)</f>
        <v>0</v>
      </c>
      <c r="G23" s="13">
        <f>SUM(G24:G26)</f>
        <v>0</v>
      </c>
      <c r="H23" s="13">
        <f>SUM(H24:H26)</f>
        <v>4746900</v>
      </c>
      <c r="I23" s="13">
        <f t="shared" si="1"/>
        <v>0</v>
      </c>
      <c r="J23" s="13">
        <f>SUM(J24:J26)</f>
        <v>0</v>
      </c>
      <c r="K23" s="13">
        <f>SUM(K24:K26)</f>
        <v>0</v>
      </c>
      <c r="L23" s="13">
        <f>SUM(L24:L26)</f>
        <v>0</v>
      </c>
      <c r="M23" s="13">
        <f>SUM(M24:M26)</f>
        <v>0</v>
      </c>
      <c r="N23" s="13">
        <f>SUM(N24:N26)</f>
        <v>0</v>
      </c>
      <c r="O23" s="13">
        <f t="shared" si="2"/>
        <v>4746900</v>
      </c>
    </row>
    <row r="24" spans="1:15" ht="15">
      <c r="A24" s="10" t="s">
        <v>23</v>
      </c>
      <c r="B24" s="11"/>
      <c r="C24" s="16" t="s">
        <v>158</v>
      </c>
      <c r="D24" s="13">
        <f t="shared" si="0"/>
        <v>1946400</v>
      </c>
      <c r="E24" s="13"/>
      <c r="F24" s="13"/>
      <c r="G24" s="13"/>
      <c r="H24" s="13">
        <f>2000000-53600</f>
        <v>1946400</v>
      </c>
      <c r="I24" s="13">
        <f t="shared" si="1"/>
        <v>0</v>
      </c>
      <c r="J24" s="13"/>
      <c r="K24" s="13"/>
      <c r="L24" s="13"/>
      <c r="M24" s="13"/>
      <c r="N24" s="13"/>
      <c r="O24" s="13">
        <f>D24+I24</f>
        <v>1946400</v>
      </c>
    </row>
    <row r="25" spans="1:15" ht="30">
      <c r="A25" s="10" t="s">
        <v>23</v>
      </c>
      <c r="B25" s="11"/>
      <c r="C25" s="16" t="s">
        <v>159</v>
      </c>
      <c r="D25" s="13">
        <f t="shared" si="0"/>
        <v>1950500</v>
      </c>
      <c r="E25" s="13"/>
      <c r="F25" s="13"/>
      <c r="G25" s="13"/>
      <c r="H25" s="13">
        <f>1962300-11800</f>
        <v>1950500</v>
      </c>
      <c r="I25" s="13">
        <f t="shared" si="1"/>
        <v>0</v>
      </c>
      <c r="J25" s="13"/>
      <c r="K25" s="13"/>
      <c r="L25" s="13"/>
      <c r="M25" s="13"/>
      <c r="N25" s="13"/>
      <c r="O25" s="13">
        <f>D25+I25</f>
        <v>1950500</v>
      </c>
    </row>
    <row r="26" spans="1:15" ht="15">
      <c r="A26" s="10" t="s">
        <v>23</v>
      </c>
      <c r="B26" s="11"/>
      <c r="C26" s="16" t="s">
        <v>160</v>
      </c>
      <c r="D26" s="13">
        <f t="shared" si="0"/>
        <v>850000</v>
      </c>
      <c r="E26" s="13"/>
      <c r="F26" s="13"/>
      <c r="G26" s="13"/>
      <c r="H26" s="13">
        <f>850000</f>
        <v>850000</v>
      </c>
      <c r="I26" s="13">
        <f t="shared" si="1"/>
        <v>0</v>
      </c>
      <c r="J26" s="13"/>
      <c r="K26" s="13"/>
      <c r="L26" s="13"/>
      <c r="M26" s="13"/>
      <c r="N26" s="13"/>
      <c r="O26" s="13">
        <f>D26+I26</f>
        <v>850000</v>
      </c>
    </row>
    <row r="27" spans="1:15" ht="15">
      <c r="A27" s="10" t="s">
        <v>25</v>
      </c>
      <c r="B27" s="11" t="s">
        <v>26</v>
      </c>
      <c r="C27" s="12" t="s">
        <v>27</v>
      </c>
      <c r="D27" s="13">
        <f t="shared" si="0"/>
        <v>35000</v>
      </c>
      <c r="E27" s="13">
        <f>35000</f>
        <v>35000</v>
      </c>
      <c r="F27" s="13"/>
      <c r="G27" s="13"/>
      <c r="H27" s="13"/>
      <c r="I27" s="13">
        <f t="shared" si="1"/>
        <v>0</v>
      </c>
      <c r="J27" s="13"/>
      <c r="K27" s="13"/>
      <c r="L27" s="13"/>
      <c r="M27" s="13"/>
      <c r="N27" s="13"/>
      <c r="O27" s="13">
        <f t="shared" si="2"/>
        <v>35000</v>
      </c>
    </row>
    <row r="28" spans="1:15" ht="15">
      <c r="A28" s="10" t="s">
        <v>28</v>
      </c>
      <c r="B28" s="11" t="s">
        <v>29</v>
      </c>
      <c r="C28" s="12" t="s">
        <v>30</v>
      </c>
      <c r="D28" s="13">
        <f t="shared" si="0"/>
        <v>70000</v>
      </c>
      <c r="E28" s="13">
        <f>70000</f>
        <v>70000</v>
      </c>
      <c r="F28" s="13"/>
      <c r="G28" s="13"/>
      <c r="H28" s="13"/>
      <c r="I28" s="13">
        <f t="shared" si="1"/>
        <v>0</v>
      </c>
      <c r="J28" s="13"/>
      <c r="K28" s="13"/>
      <c r="L28" s="13"/>
      <c r="M28" s="13"/>
      <c r="N28" s="13"/>
      <c r="O28" s="13">
        <f t="shared" si="2"/>
        <v>70000</v>
      </c>
    </row>
    <row r="29" spans="1:15" ht="15">
      <c r="A29" s="10" t="s">
        <v>31</v>
      </c>
      <c r="B29" s="11" t="s">
        <v>29</v>
      </c>
      <c r="C29" s="12" t="s">
        <v>32</v>
      </c>
      <c r="D29" s="13">
        <f t="shared" si="0"/>
        <v>130000</v>
      </c>
      <c r="E29" s="13">
        <f>130000</f>
        <v>130000</v>
      </c>
      <c r="F29" s="13"/>
      <c r="G29" s="13"/>
      <c r="H29" s="13"/>
      <c r="I29" s="13">
        <f t="shared" si="1"/>
        <v>0</v>
      </c>
      <c r="J29" s="13"/>
      <c r="K29" s="13"/>
      <c r="L29" s="13"/>
      <c r="M29" s="13"/>
      <c r="N29" s="13"/>
      <c r="O29" s="13">
        <f t="shared" si="2"/>
        <v>130000</v>
      </c>
    </row>
    <row r="30" spans="1:15" ht="30">
      <c r="A30" s="10" t="s">
        <v>33</v>
      </c>
      <c r="B30" s="11" t="s">
        <v>34</v>
      </c>
      <c r="C30" s="12" t="s">
        <v>35</v>
      </c>
      <c r="D30" s="13">
        <f t="shared" si="0"/>
        <v>144040</v>
      </c>
      <c r="E30" s="13">
        <f>160000-15960</f>
        <v>144040</v>
      </c>
      <c r="F30" s="13"/>
      <c r="G30" s="13"/>
      <c r="H30" s="13"/>
      <c r="I30" s="13">
        <f t="shared" si="1"/>
        <v>0</v>
      </c>
      <c r="J30" s="13"/>
      <c r="K30" s="13"/>
      <c r="L30" s="13"/>
      <c r="M30" s="13"/>
      <c r="N30" s="13"/>
      <c r="O30" s="13">
        <f t="shared" si="2"/>
        <v>144040</v>
      </c>
    </row>
    <row r="31" spans="1:19" ht="15">
      <c r="A31" s="10">
        <v>150101</v>
      </c>
      <c r="B31" s="11"/>
      <c r="C31" s="18" t="s">
        <v>170</v>
      </c>
      <c r="D31" s="13">
        <f t="shared" si="0"/>
        <v>0</v>
      </c>
      <c r="E31" s="13"/>
      <c r="F31" s="13"/>
      <c r="G31" s="13"/>
      <c r="H31" s="13"/>
      <c r="I31" s="13">
        <f t="shared" si="1"/>
        <v>5579424</v>
      </c>
      <c r="J31" s="13"/>
      <c r="K31" s="13"/>
      <c r="L31" s="13"/>
      <c r="M31" s="13">
        <f>5037700+541724</f>
        <v>5579424</v>
      </c>
      <c r="N31" s="13">
        <f>5037700+541724</f>
        <v>5579424</v>
      </c>
      <c r="O31" s="13">
        <f>D31+I31</f>
        <v>5579424</v>
      </c>
      <c r="R31">
        <f>'[1]дод.1'!$F$87</f>
        <v>541724</v>
      </c>
      <c r="S31" s="26">
        <f>R31-O31</f>
        <v>-5037700</v>
      </c>
    </row>
    <row r="32" spans="1:19" ht="75">
      <c r="A32" s="10">
        <v>170703</v>
      </c>
      <c r="B32" s="11"/>
      <c r="C32" s="16" t="s">
        <v>169</v>
      </c>
      <c r="D32" s="13">
        <f aca="true" t="shared" si="3" ref="D32:D38">E32+H32</f>
        <v>2037700</v>
      </c>
      <c r="E32" s="13"/>
      <c r="F32" s="13"/>
      <c r="G32" s="13"/>
      <c r="H32" s="13">
        <f>2037700</f>
        <v>2037700</v>
      </c>
      <c r="I32" s="13">
        <f aca="true" t="shared" si="4" ref="I32:I38">J32+M32</f>
        <v>3662300</v>
      </c>
      <c r="J32" s="13"/>
      <c r="K32" s="13"/>
      <c r="L32" s="13"/>
      <c r="M32" s="13">
        <f>3662300</f>
        <v>3662300</v>
      </c>
      <c r="N32" s="13"/>
      <c r="O32" s="13">
        <f aca="true" t="shared" si="5" ref="O32:O38">D32+I32</f>
        <v>5700000</v>
      </c>
      <c r="R32">
        <f>'[1]дод.1'!$C$21</f>
        <v>5700000</v>
      </c>
      <c r="S32" s="20">
        <f>R32-O32</f>
        <v>0</v>
      </c>
    </row>
    <row r="33" spans="1:15" ht="30">
      <c r="A33" s="10">
        <v>240601</v>
      </c>
      <c r="B33" s="11"/>
      <c r="C33" s="16" t="s">
        <v>167</v>
      </c>
      <c r="D33" s="13">
        <f t="shared" si="3"/>
        <v>53600</v>
      </c>
      <c r="E33" s="13">
        <f>E34</f>
        <v>53600</v>
      </c>
      <c r="F33" s="13">
        <f>F34</f>
        <v>0</v>
      </c>
      <c r="G33" s="13">
        <f>G34</f>
        <v>0</v>
      </c>
      <c r="H33" s="13">
        <f>H34</f>
        <v>0</v>
      </c>
      <c r="I33" s="13">
        <f t="shared" si="4"/>
        <v>400</v>
      </c>
      <c r="J33" s="13">
        <f>J34</f>
        <v>400</v>
      </c>
      <c r="K33" s="13">
        <f>K34</f>
        <v>0</v>
      </c>
      <c r="L33" s="13">
        <f>L34</f>
        <v>0</v>
      </c>
      <c r="M33" s="13">
        <f>M34</f>
        <v>0</v>
      </c>
      <c r="N33" s="13">
        <f>N34</f>
        <v>0</v>
      </c>
      <c r="O33" s="13">
        <f t="shared" si="5"/>
        <v>54000</v>
      </c>
    </row>
    <row r="34" spans="1:15" ht="30">
      <c r="A34" s="10">
        <v>240601</v>
      </c>
      <c r="B34" s="11"/>
      <c r="C34" s="16" t="s">
        <v>159</v>
      </c>
      <c r="D34" s="13">
        <f t="shared" si="3"/>
        <v>53600</v>
      </c>
      <c r="E34" s="13">
        <f>53600</f>
        <v>53600</v>
      </c>
      <c r="F34" s="13"/>
      <c r="G34" s="13"/>
      <c r="H34" s="13"/>
      <c r="I34" s="13">
        <f t="shared" si="4"/>
        <v>400</v>
      </c>
      <c r="J34" s="13">
        <f>400</f>
        <v>400</v>
      </c>
      <c r="K34" s="13"/>
      <c r="L34" s="13"/>
      <c r="M34" s="13"/>
      <c r="N34" s="13"/>
      <c r="O34" s="13">
        <f t="shared" si="5"/>
        <v>54000</v>
      </c>
    </row>
    <row r="35" spans="1:15" ht="15">
      <c r="A35" s="10">
        <v>240602</v>
      </c>
      <c r="B35" s="11"/>
      <c r="C35" s="16" t="s">
        <v>168</v>
      </c>
      <c r="D35" s="13">
        <f t="shared" si="3"/>
        <v>11800</v>
      </c>
      <c r="E35" s="13">
        <f>E36</f>
        <v>11800</v>
      </c>
      <c r="F35" s="13"/>
      <c r="G35" s="13"/>
      <c r="H35" s="13"/>
      <c r="I35" s="13">
        <f t="shared" si="4"/>
        <v>0</v>
      </c>
      <c r="J35" s="13">
        <f>J36</f>
        <v>0</v>
      </c>
      <c r="K35" s="13"/>
      <c r="L35" s="13">
        <f>L36</f>
        <v>0</v>
      </c>
      <c r="M35" s="13">
        <f>M36</f>
        <v>0</v>
      </c>
      <c r="N35" s="13">
        <f>N36</f>
        <v>0</v>
      </c>
      <c r="O35" s="13">
        <f t="shared" si="5"/>
        <v>11800</v>
      </c>
    </row>
    <row r="36" spans="1:15" ht="15">
      <c r="A36" s="10">
        <v>240602</v>
      </c>
      <c r="B36" s="11"/>
      <c r="C36" s="16" t="s">
        <v>158</v>
      </c>
      <c r="D36" s="13">
        <f t="shared" si="3"/>
        <v>11800</v>
      </c>
      <c r="E36" s="13">
        <f>11800</f>
        <v>11800</v>
      </c>
      <c r="F36" s="13"/>
      <c r="G36" s="13"/>
      <c r="H36" s="13"/>
      <c r="I36" s="13">
        <f t="shared" si="4"/>
        <v>0</v>
      </c>
      <c r="J36" s="13"/>
      <c r="K36" s="13"/>
      <c r="L36" s="13"/>
      <c r="M36" s="13"/>
      <c r="N36" s="13"/>
      <c r="O36" s="13">
        <f t="shared" si="5"/>
        <v>11800</v>
      </c>
    </row>
    <row r="37" spans="1:15" ht="15">
      <c r="A37" s="10" t="s">
        <v>36</v>
      </c>
      <c r="B37" s="11" t="s">
        <v>37</v>
      </c>
      <c r="C37" s="12" t="s">
        <v>38</v>
      </c>
      <c r="D37" s="13">
        <f t="shared" si="3"/>
        <v>200000</v>
      </c>
      <c r="E37" s="13">
        <f>200000</f>
        <v>200000</v>
      </c>
      <c r="F37" s="13"/>
      <c r="G37" s="13"/>
      <c r="H37" s="13"/>
      <c r="I37" s="13">
        <f t="shared" si="4"/>
        <v>0</v>
      </c>
      <c r="J37" s="13"/>
      <c r="K37" s="13"/>
      <c r="L37" s="13"/>
      <c r="M37" s="13"/>
      <c r="N37" s="13"/>
      <c r="O37" s="13">
        <f t="shared" si="5"/>
        <v>200000</v>
      </c>
    </row>
    <row r="38" spans="1:15" ht="45">
      <c r="A38" s="10" t="s">
        <v>166</v>
      </c>
      <c r="B38" s="11"/>
      <c r="C38" s="16" t="s">
        <v>165</v>
      </c>
      <c r="D38" s="13">
        <f t="shared" si="3"/>
        <v>195930.83</v>
      </c>
      <c r="E38" s="13">
        <f>41295+15960+8145.33+8958.26+575+1672.5+20559.2+98765.54</f>
        <v>195930.83</v>
      </c>
      <c r="F38" s="13"/>
      <c r="G38" s="13">
        <f>58719.59+14983.33+7139.44+6841.37</f>
        <v>87683.73</v>
      </c>
      <c r="H38" s="13"/>
      <c r="I38" s="13">
        <f t="shared" si="4"/>
        <v>0</v>
      </c>
      <c r="J38" s="13"/>
      <c r="K38" s="13"/>
      <c r="L38" s="13"/>
      <c r="M38" s="13"/>
      <c r="N38" s="13"/>
      <c r="O38" s="13">
        <f t="shared" si="5"/>
        <v>195930.83</v>
      </c>
    </row>
    <row r="39" spans="1:15" ht="15">
      <c r="A39" s="10" t="s">
        <v>39</v>
      </c>
      <c r="B39" s="11" t="s">
        <v>40</v>
      </c>
      <c r="C39" s="12" t="s">
        <v>22</v>
      </c>
      <c r="D39" s="13">
        <f>E39+H39</f>
        <v>658705</v>
      </c>
      <c r="E39" s="13">
        <f>200000-41295+500000</f>
        <v>658705</v>
      </c>
      <c r="F39" s="13"/>
      <c r="G39" s="13"/>
      <c r="H39" s="13"/>
      <c r="I39" s="13">
        <f>J39+M39</f>
        <v>0</v>
      </c>
      <c r="J39" s="13"/>
      <c r="K39" s="13"/>
      <c r="L39" s="13"/>
      <c r="M39" s="13"/>
      <c r="N39" s="13"/>
      <c r="O39" s="13">
        <f t="shared" si="2"/>
        <v>658705</v>
      </c>
    </row>
    <row r="40" spans="1:20" ht="30">
      <c r="A40" s="6" t="s">
        <v>41</v>
      </c>
      <c r="B40" s="7"/>
      <c r="C40" s="8" t="s">
        <v>42</v>
      </c>
      <c r="D40" s="9">
        <f aca="true" t="shared" si="6" ref="D40:D94">E40+H40</f>
        <v>50617903.99999999</v>
      </c>
      <c r="E40" s="9">
        <f>SUM(E41:E50)</f>
        <v>50617903.99999999</v>
      </c>
      <c r="F40" s="9">
        <f>SUM(F41:F50)</f>
        <v>28570138</v>
      </c>
      <c r="G40" s="9">
        <f>SUM(G41:G50)</f>
        <v>7187671.999999999</v>
      </c>
      <c r="H40" s="9">
        <f>SUM(H41:H50)</f>
        <v>0</v>
      </c>
      <c r="I40" s="9">
        <f aca="true" t="shared" si="7" ref="I40:I94">J40+M40</f>
        <v>2081702</v>
      </c>
      <c r="J40" s="9">
        <f>SUM(J41:J50)</f>
        <v>2078702</v>
      </c>
      <c r="K40" s="9">
        <f>SUM(K41:K50)</f>
        <v>298044</v>
      </c>
      <c r="L40" s="9">
        <f>SUM(L41:L50)</f>
        <v>178946</v>
      </c>
      <c r="M40" s="9">
        <f>SUM(M41:M50)</f>
        <v>3000</v>
      </c>
      <c r="N40" s="9">
        <f>SUM(N41:N50)</f>
        <v>0</v>
      </c>
      <c r="O40" s="9">
        <f aca="true" t="shared" si="8" ref="O40:O94">D40+I40</f>
        <v>52699605.99999999</v>
      </c>
      <c r="S40">
        <f>S41+S42+S46</f>
        <v>2081702</v>
      </c>
      <c r="T40">
        <f>2081702-S40</f>
        <v>0</v>
      </c>
    </row>
    <row r="41" spans="1:20" ht="15">
      <c r="A41" s="10" t="s">
        <v>43</v>
      </c>
      <c r="B41" s="11" t="s">
        <v>44</v>
      </c>
      <c r="C41" s="12" t="s">
        <v>45</v>
      </c>
      <c r="D41" s="13">
        <f t="shared" si="6"/>
        <v>14580900.84</v>
      </c>
      <c r="E41" s="13">
        <f>15116460-535559.16</f>
        <v>14580900.84</v>
      </c>
      <c r="F41" s="13">
        <f>8027090</f>
        <v>8027090</v>
      </c>
      <c r="G41" s="13">
        <f>2564676-302671.08</f>
        <v>2262004.92</v>
      </c>
      <c r="H41" s="13"/>
      <c r="I41" s="13">
        <f t="shared" si="7"/>
        <v>1324057</v>
      </c>
      <c r="J41" s="13">
        <f>1324057</f>
        <v>1324057</v>
      </c>
      <c r="K41" s="13">
        <f>46956</f>
        <v>46956</v>
      </c>
      <c r="L41" s="13">
        <v>0</v>
      </c>
      <c r="M41" s="13"/>
      <c r="N41" s="13"/>
      <c r="O41" s="13">
        <f t="shared" si="8"/>
        <v>15904957.84</v>
      </c>
      <c r="S41">
        <f>1324057</f>
        <v>1324057</v>
      </c>
      <c r="T41" s="20">
        <f>S41-I41</f>
        <v>0</v>
      </c>
    </row>
    <row r="42" spans="1:20" ht="60">
      <c r="A42" s="10" t="s">
        <v>46</v>
      </c>
      <c r="B42" s="11" t="s">
        <v>47</v>
      </c>
      <c r="C42" s="12" t="s">
        <v>48</v>
      </c>
      <c r="D42" s="13">
        <f t="shared" si="6"/>
        <v>30046593.4</v>
      </c>
      <c r="E42" s="13">
        <f>31281500-1234906.6</f>
        <v>30046593.4</v>
      </c>
      <c r="F42" s="13">
        <f>18029987</f>
        <v>18029987</v>
      </c>
      <c r="G42" s="13">
        <f>4226670-884424.74</f>
        <v>3342245.26</v>
      </c>
      <c r="H42" s="13"/>
      <c r="I42" s="13">
        <f t="shared" si="7"/>
        <v>265917</v>
      </c>
      <c r="J42" s="13">
        <f>262917</f>
        <v>262917</v>
      </c>
      <c r="K42" s="13">
        <f>14070</f>
        <v>14070</v>
      </c>
      <c r="L42" s="13">
        <f>126395</f>
        <v>126395</v>
      </c>
      <c r="M42" s="13">
        <f>3000</f>
        <v>3000</v>
      </c>
      <c r="N42" s="13"/>
      <c r="O42" s="13">
        <f t="shared" si="8"/>
        <v>30312510.4</v>
      </c>
      <c r="S42">
        <f>265917</f>
        <v>265917</v>
      </c>
      <c r="T42" s="20">
        <f>S42-I42</f>
        <v>0</v>
      </c>
    </row>
    <row r="43" spans="1:15" ht="30">
      <c r="A43" s="10" t="s">
        <v>49</v>
      </c>
      <c r="B43" s="11" t="s">
        <v>50</v>
      </c>
      <c r="C43" s="12" t="s">
        <v>51</v>
      </c>
      <c r="D43" s="13">
        <f t="shared" si="6"/>
        <v>1141453.59</v>
      </c>
      <c r="E43" s="13">
        <f>1145165-3711.41</f>
        <v>1141453.59</v>
      </c>
      <c r="F43" s="13">
        <f>739898</f>
        <v>739898</v>
      </c>
      <c r="G43" s="13">
        <f>1443-149.54</f>
        <v>1293.46</v>
      </c>
      <c r="H43" s="13"/>
      <c r="I43" s="13">
        <f t="shared" si="7"/>
        <v>0</v>
      </c>
      <c r="J43" s="13"/>
      <c r="K43" s="13"/>
      <c r="L43" s="13"/>
      <c r="M43" s="13"/>
      <c r="N43" s="13"/>
      <c r="O43" s="13">
        <f t="shared" si="8"/>
        <v>1141453.59</v>
      </c>
    </row>
    <row r="44" spans="1:15" ht="30">
      <c r="A44" s="10" t="s">
        <v>52</v>
      </c>
      <c r="B44" s="11" t="s">
        <v>53</v>
      </c>
      <c r="C44" s="12" t="s">
        <v>54</v>
      </c>
      <c r="D44" s="13">
        <f t="shared" si="6"/>
        <v>477627.87</v>
      </c>
      <c r="E44" s="13">
        <f>489675-12047.13</f>
        <v>477627.87</v>
      </c>
      <c r="F44" s="13">
        <f>315339</f>
        <v>315339</v>
      </c>
      <c r="G44" s="13">
        <f>16621-7412.46</f>
        <v>9208.54</v>
      </c>
      <c r="H44" s="13"/>
      <c r="I44" s="13">
        <f t="shared" si="7"/>
        <v>0</v>
      </c>
      <c r="J44" s="13"/>
      <c r="K44" s="13"/>
      <c r="L44" s="13"/>
      <c r="M44" s="13"/>
      <c r="N44" s="13"/>
      <c r="O44" s="13">
        <f t="shared" si="8"/>
        <v>477627.87</v>
      </c>
    </row>
    <row r="45" spans="1:15" ht="30">
      <c r="A45" s="10" t="s">
        <v>55</v>
      </c>
      <c r="B45" s="11" t="s">
        <v>53</v>
      </c>
      <c r="C45" s="12" t="s">
        <v>56</v>
      </c>
      <c r="D45" s="13">
        <f t="shared" si="6"/>
        <v>936313.52</v>
      </c>
      <c r="E45" s="13">
        <f>948063-11749.48</f>
        <v>936313.52</v>
      </c>
      <c r="F45" s="13">
        <f>639000</f>
        <v>639000</v>
      </c>
      <c r="G45" s="13">
        <f>28448-6820.53</f>
        <v>21627.47</v>
      </c>
      <c r="H45" s="13"/>
      <c r="I45" s="13">
        <f t="shared" si="7"/>
        <v>0</v>
      </c>
      <c r="J45" s="13"/>
      <c r="K45" s="13"/>
      <c r="L45" s="13"/>
      <c r="M45" s="13"/>
      <c r="N45" s="13"/>
      <c r="O45" s="13">
        <f t="shared" si="8"/>
        <v>936313.52</v>
      </c>
    </row>
    <row r="46" spans="1:20" ht="15">
      <c r="A46" s="10" t="s">
        <v>57</v>
      </c>
      <c r="B46" s="11" t="s">
        <v>53</v>
      </c>
      <c r="C46" s="12" t="s">
        <v>58</v>
      </c>
      <c r="D46" s="13">
        <f t="shared" si="6"/>
        <v>732327.58</v>
      </c>
      <c r="E46" s="13">
        <f>765751-33423.42</f>
        <v>732327.58</v>
      </c>
      <c r="F46" s="13">
        <f>487974</f>
        <v>487974</v>
      </c>
      <c r="G46" s="13">
        <f>102112-30417.54</f>
        <v>71694.45999999999</v>
      </c>
      <c r="H46" s="13"/>
      <c r="I46" s="13">
        <f t="shared" si="7"/>
        <v>491728</v>
      </c>
      <c r="J46" s="13">
        <f>491728</f>
        <v>491728</v>
      </c>
      <c r="K46" s="13">
        <f>237018</f>
        <v>237018</v>
      </c>
      <c r="L46" s="13">
        <f>52551</f>
        <v>52551</v>
      </c>
      <c r="M46" s="13"/>
      <c r="N46" s="13"/>
      <c r="O46" s="13">
        <f t="shared" si="8"/>
        <v>1224055.58</v>
      </c>
      <c r="S46">
        <f>491728</f>
        <v>491728</v>
      </c>
      <c r="T46" s="20">
        <f>S46-I46</f>
        <v>0</v>
      </c>
    </row>
    <row r="47" spans="1:15" ht="45">
      <c r="A47" s="10" t="s">
        <v>59</v>
      </c>
      <c r="B47" s="11" t="s">
        <v>53</v>
      </c>
      <c r="C47" s="12" t="s">
        <v>60</v>
      </c>
      <c r="D47" s="13">
        <f t="shared" si="6"/>
        <v>16290</v>
      </c>
      <c r="E47" s="13">
        <f>16290</f>
        <v>16290</v>
      </c>
      <c r="F47" s="13"/>
      <c r="G47" s="13"/>
      <c r="H47" s="13"/>
      <c r="I47" s="13">
        <f t="shared" si="7"/>
        <v>0</v>
      </c>
      <c r="J47" s="13"/>
      <c r="K47" s="13"/>
      <c r="L47" s="13"/>
      <c r="M47" s="13"/>
      <c r="N47" s="13"/>
      <c r="O47" s="13">
        <f t="shared" si="8"/>
        <v>16290</v>
      </c>
    </row>
    <row r="48" spans="1:15" ht="75">
      <c r="A48" s="10">
        <v>91108</v>
      </c>
      <c r="B48" s="11"/>
      <c r="C48" s="19" t="s">
        <v>171</v>
      </c>
      <c r="D48" s="13">
        <f t="shared" si="6"/>
        <v>140000</v>
      </c>
      <c r="E48" s="13">
        <f>140000</f>
        <v>140000</v>
      </c>
      <c r="F48" s="13"/>
      <c r="G48" s="13"/>
      <c r="H48" s="13"/>
      <c r="I48" s="13">
        <f t="shared" si="7"/>
        <v>0</v>
      </c>
      <c r="J48" s="13"/>
      <c r="K48" s="13"/>
      <c r="L48" s="13"/>
      <c r="M48" s="13"/>
      <c r="N48" s="13"/>
      <c r="O48" s="13">
        <f t="shared" si="8"/>
        <v>140000</v>
      </c>
    </row>
    <row r="49" spans="1:15" ht="30">
      <c r="A49" s="10" t="s">
        <v>61</v>
      </c>
      <c r="B49" s="11" t="s">
        <v>34</v>
      </c>
      <c r="C49" s="12" t="s">
        <v>62</v>
      </c>
      <c r="D49" s="13">
        <f t="shared" si="6"/>
        <v>673106.58</v>
      </c>
      <c r="E49" s="13">
        <f>715000-41893.42</f>
        <v>673106.58</v>
      </c>
      <c r="F49" s="13">
        <f>330850</f>
        <v>330850</v>
      </c>
      <c r="G49" s="13">
        <f>247702-36097.61</f>
        <v>211604.39</v>
      </c>
      <c r="H49" s="13"/>
      <c r="I49" s="13">
        <f t="shared" si="7"/>
        <v>0</v>
      </c>
      <c r="J49" s="13"/>
      <c r="K49" s="13"/>
      <c r="L49" s="13"/>
      <c r="M49" s="13"/>
      <c r="N49" s="13"/>
      <c r="O49" s="13">
        <f t="shared" si="8"/>
        <v>673106.58</v>
      </c>
    </row>
    <row r="50" spans="1:15" ht="45">
      <c r="A50" s="10" t="s">
        <v>166</v>
      </c>
      <c r="B50" s="11"/>
      <c r="C50" s="16" t="s">
        <v>165</v>
      </c>
      <c r="D50" s="13">
        <f t="shared" si="6"/>
        <v>1873290.6199999999</v>
      </c>
      <c r="E50" s="13">
        <f>535559.16+1234906.6+3711.41+12047.13+11749.48+33423.42+41893.42</f>
        <v>1873290.6199999999</v>
      </c>
      <c r="F50" s="13"/>
      <c r="G50" s="13">
        <f>36097.61+30417.54+6820.53+7412.46+149.54+884424.74+302671.08</f>
        <v>1267993.5</v>
      </c>
      <c r="H50" s="13"/>
      <c r="I50" s="13">
        <f t="shared" si="7"/>
        <v>0</v>
      </c>
      <c r="J50" s="13"/>
      <c r="K50" s="13"/>
      <c r="L50" s="13"/>
      <c r="M50" s="13"/>
      <c r="N50" s="13"/>
      <c r="O50" s="13">
        <f t="shared" si="8"/>
        <v>1873290.6199999999</v>
      </c>
    </row>
    <row r="51" spans="1:18" ht="45">
      <c r="A51" s="6" t="s">
        <v>63</v>
      </c>
      <c r="B51" s="7"/>
      <c r="C51" s="8" t="s">
        <v>64</v>
      </c>
      <c r="D51" s="9">
        <f t="shared" si="6"/>
        <v>73606441.2</v>
      </c>
      <c r="E51" s="9">
        <f>SUM(E52:E88)</f>
        <v>71925067</v>
      </c>
      <c r="F51" s="9">
        <f>SUM(F52:F88)</f>
        <v>1580827</v>
      </c>
      <c r="G51" s="9">
        <f>SUM(G52:G88)</f>
        <v>59330</v>
      </c>
      <c r="H51" s="9">
        <f>SUM(H52:H88)</f>
        <v>1681374.2</v>
      </c>
      <c r="I51" s="9">
        <f t="shared" si="7"/>
        <v>85000</v>
      </c>
      <c r="J51" s="9">
        <f>SUM(J52:J88)</f>
        <v>29000</v>
      </c>
      <c r="K51" s="9">
        <f>SUM(K52:K88)</f>
        <v>11000</v>
      </c>
      <c r="L51" s="9">
        <f>SUM(L52:L88)</f>
        <v>0</v>
      </c>
      <c r="M51" s="9">
        <f>SUM(M52:M88)</f>
        <v>56000</v>
      </c>
      <c r="N51" s="9">
        <f>SUM(N52:N88)</f>
        <v>50000</v>
      </c>
      <c r="O51" s="9">
        <f t="shared" si="8"/>
        <v>73691441.2</v>
      </c>
      <c r="Q51" s="20"/>
      <c r="R51" s="20"/>
    </row>
    <row r="52" spans="1:19" ht="30">
      <c r="A52" s="10" t="s">
        <v>65</v>
      </c>
      <c r="B52" s="11" t="s">
        <v>44</v>
      </c>
      <c r="C52" s="12" t="s">
        <v>66</v>
      </c>
      <c r="D52" s="13">
        <f t="shared" si="6"/>
        <v>360950</v>
      </c>
      <c r="E52" s="13">
        <f>360950</f>
        <v>360950</v>
      </c>
      <c r="F52" s="13"/>
      <c r="G52" s="13"/>
      <c r="H52" s="13"/>
      <c r="I52" s="13">
        <f t="shared" si="7"/>
        <v>0</v>
      </c>
      <c r="J52" s="13"/>
      <c r="K52" s="13"/>
      <c r="L52" s="13"/>
      <c r="M52" s="13"/>
      <c r="N52" s="13"/>
      <c r="O52" s="13">
        <f t="shared" si="8"/>
        <v>360950</v>
      </c>
      <c r="R52">
        <f>'[1]дод.1'!$C$86</f>
        <v>360950</v>
      </c>
      <c r="S52" s="20">
        <f>R52-O52</f>
        <v>0</v>
      </c>
    </row>
    <row r="53" spans="1:19" ht="105">
      <c r="A53" s="10" t="s">
        <v>67</v>
      </c>
      <c r="B53" s="11" t="s">
        <v>68</v>
      </c>
      <c r="C53" s="12" t="s">
        <v>69</v>
      </c>
      <c r="D53" s="13">
        <f t="shared" si="6"/>
        <v>6800000</v>
      </c>
      <c r="E53" s="13">
        <f>6800000</f>
        <v>6800000</v>
      </c>
      <c r="F53" s="13"/>
      <c r="G53" s="13"/>
      <c r="H53" s="13"/>
      <c r="I53" s="13">
        <f t="shared" si="7"/>
        <v>0</v>
      </c>
      <c r="J53" s="13"/>
      <c r="K53" s="13"/>
      <c r="L53" s="13"/>
      <c r="M53" s="13"/>
      <c r="N53" s="13"/>
      <c r="O53" s="13">
        <f t="shared" si="8"/>
        <v>6800000</v>
      </c>
      <c r="Q53" s="20">
        <f>O53+O56+O57+O61+O71+O73</f>
        <v>29172800</v>
      </c>
      <c r="R53">
        <f>'[1]дод.1'!$C$81</f>
        <v>29172800</v>
      </c>
      <c r="S53" s="20">
        <f>R53-Q53</f>
        <v>0</v>
      </c>
    </row>
    <row r="54" spans="1:19" ht="174.75" customHeight="1">
      <c r="A54" s="10" t="s">
        <v>179</v>
      </c>
      <c r="B54" s="11"/>
      <c r="C54" s="16" t="s">
        <v>178</v>
      </c>
      <c r="D54" s="13">
        <f>E54+H54</f>
        <v>2000</v>
      </c>
      <c r="E54" s="13">
        <f>2000</f>
        <v>2000</v>
      </c>
      <c r="F54" s="13"/>
      <c r="G54" s="13"/>
      <c r="H54" s="13"/>
      <c r="I54" s="13">
        <f>J54+M54</f>
        <v>0</v>
      </c>
      <c r="J54" s="13"/>
      <c r="K54" s="13"/>
      <c r="L54" s="13"/>
      <c r="M54" s="13"/>
      <c r="N54" s="13"/>
      <c r="O54" s="13">
        <f>D54+I54</f>
        <v>2000</v>
      </c>
      <c r="Q54" s="20">
        <f>O54+O62+O72+O76</f>
        <v>24000</v>
      </c>
      <c r="R54">
        <f>'[1]дод.1'!$C$83</f>
        <v>24000</v>
      </c>
      <c r="S54" s="20">
        <f>R54-Q54</f>
        <v>0</v>
      </c>
    </row>
    <row r="55" spans="1:19" ht="105">
      <c r="A55" s="10" t="s">
        <v>70</v>
      </c>
      <c r="B55" s="11" t="s">
        <v>68</v>
      </c>
      <c r="C55" s="12" t="s">
        <v>71</v>
      </c>
      <c r="D55" s="13">
        <f t="shared" si="6"/>
        <v>90000</v>
      </c>
      <c r="E55" s="13">
        <f>90000</f>
        <v>90000</v>
      </c>
      <c r="F55" s="13"/>
      <c r="G55" s="13"/>
      <c r="H55" s="13"/>
      <c r="I55" s="13">
        <f t="shared" si="7"/>
        <v>50000</v>
      </c>
      <c r="J55" s="13"/>
      <c r="K55" s="13"/>
      <c r="L55" s="13"/>
      <c r="M55" s="13">
        <f>50000</f>
        <v>50000</v>
      </c>
      <c r="N55" s="13">
        <f>50000</f>
        <v>50000</v>
      </c>
      <c r="O55" s="13">
        <f t="shared" si="8"/>
        <v>140000</v>
      </c>
      <c r="Q55" s="20">
        <f>O55+O58+O60+O85+O87</f>
        <v>2147469.2</v>
      </c>
      <c r="R55">
        <f>'[1]дод.1'!$C$82</f>
        <v>2147469.2</v>
      </c>
      <c r="S55" s="20">
        <f>R55-Q55</f>
        <v>0</v>
      </c>
    </row>
    <row r="56" spans="1:15" ht="105">
      <c r="A56" s="10" t="s">
        <v>72</v>
      </c>
      <c r="B56" s="11" t="s">
        <v>68</v>
      </c>
      <c r="C56" s="12" t="s">
        <v>73</v>
      </c>
      <c r="D56" s="13">
        <f t="shared" si="6"/>
        <v>4000000</v>
      </c>
      <c r="E56" s="13">
        <f>4000000</f>
        <v>4000000</v>
      </c>
      <c r="F56" s="13"/>
      <c r="G56" s="13"/>
      <c r="H56" s="13"/>
      <c r="I56" s="13">
        <f t="shared" si="7"/>
        <v>0</v>
      </c>
      <c r="J56" s="13"/>
      <c r="K56" s="13"/>
      <c r="L56" s="13"/>
      <c r="M56" s="13"/>
      <c r="N56" s="13"/>
      <c r="O56" s="13">
        <f t="shared" si="8"/>
        <v>4000000</v>
      </c>
    </row>
    <row r="57" spans="1:15" ht="105">
      <c r="A57" s="10" t="s">
        <v>74</v>
      </c>
      <c r="B57" s="11" t="s">
        <v>75</v>
      </c>
      <c r="C57" s="12" t="s">
        <v>76</v>
      </c>
      <c r="D57" s="13">
        <f t="shared" si="6"/>
        <v>500000</v>
      </c>
      <c r="E57" s="13">
        <f>500000</f>
        <v>500000</v>
      </c>
      <c r="F57" s="13"/>
      <c r="G57" s="13"/>
      <c r="H57" s="13"/>
      <c r="I57" s="13">
        <f t="shared" si="7"/>
        <v>0</v>
      </c>
      <c r="J57" s="13"/>
      <c r="K57" s="13"/>
      <c r="L57" s="13"/>
      <c r="M57" s="13"/>
      <c r="N57" s="13"/>
      <c r="O57" s="13">
        <f t="shared" si="8"/>
        <v>500000</v>
      </c>
    </row>
    <row r="58" spans="1:15" ht="90">
      <c r="A58" s="10" t="s">
        <v>77</v>
      </c>
      <c r="B58" s="11" t="s">
        <v>75</v>
      </c>
      <c r="C58" s="12" t="s">
        <v>78</v>
      </c>
      <c r="D58" s="13">
        <f t="shared" si="6"/>
        <v>500</v>
      </c>
      <c r="E58" s="13">
        <f>500</f>
        <v>500</v>
      </c>
      <c r="F58" s="13"/>
      <c r="G58" s="13"/>
      <c r="H58" s="13"/>
      <c r="I58" s="13">
        <f t="shared" si="7"/>
        <v>0</v>
      </c>
      <c r="J58" s="13"/>
      <c r="K58" s="13"/>
      <c r="L58" s="13"/>
      <c r="M58" s="13"/>
      <c r="N58" s="13"/>
      <c r="O58" s="13">
        <f t="shared" si="8"/>
        <v>500</v>
      </c>
    </row>
    <row r="59" spans="1:20" ht="45">
      <c r="A59" s="10" t="s">
        <v>79</v>
      </c>
      <c r="B59" s="11" t="s">
        <v>75</v>
      </c>
      <c r="C59" s="12" t="s">
        <v>80</v>
      </c>
      <c r="D59" s="13">
        <f t="shared" si="6"/>
        <v>3564</v>
      </c>
      <c r="E59" s="13">
        <f>3564</f>
        <v>3564</v>
      </c>
      <c r="F59" s="13"/>
      <c r="G59" s="13"/>
      <c r="H59" s="13"/>
      <c r="I59" s="13">
        <f t="shared" si="7"/>
        <v>0</v>
      </c>
      <c r="J59" s="13"/>
      <c r="K59" s="13"/>
      <c r="L59" s="13"/>
      <c r="M59" s="13"/>
      <c r="N59" s="13"/>
      <c r="O59" s="13">
        <f t="shared" si="8"/>
        <v>3564</v>
      </c>
      <c r="R59">
        <f>'[1]дод.1'!$C$85</f>
        <v>26742</v>
      </c>
      <c r="S59" s="20">
        <f>O59+O77+O83+O84</f>
        <v>26742</v>
      </c>
      <c r="T59" s="20">
        <f>S59-R59</f>
        <v>0</v>
      </c>
    </row>
    <row r="60" spans="1:15" ht="30">
      <c r="A60" s="10" t="s">
        <v>81</v>
      </c>
      <c r="B60" s="11" t="s">
        <v>75</v>
      </c>
      <c r="C60" s="12" t="s">
        <v>82</v>
      </c>
      <c r="D60" s="13">
        <f t="shared" si="6"/>
        <v>410000</v>
      </c>
      <c r="E60" s="13">
        <f>410000</f>
        <v>410000</v>
      </c>
      <c r="F60" s="13"/>
      <c r="G60" s="13"/>
      <c r="H60" s="13"/>
      <c r="I60" s="13">
        <f t="shared" si="7"/>
        <v>0</v>
      </c>
      <c r="J60" s="13"/>
      <c r="K60" s="13"/>
      <c r="L60" s="13"/>
      <c r="M60" s="13"/>
      <c r="N60" s="13"/>
      <c r="O60" s="13">
        <f t="shared" si="8"/>
        <v>410000</v>
      </c>
    </row>
    <row r="61" spans="1:15" ht="105">
      <c r="A61" s="10" t="s">
        <v>83</v>
      </c>
      <c r="B61" s="11" t="s">
        <v>75</v>
      </c>
      <c r="C61" s="12" t="s">
        <v>84</v>
      </c>
      <c r="D61" s="13">
        <f t="shared" si="6"/>
        <v>1000000</v>
      </c>
      <c r="E61" s="13">
        <f>1000000</f>
        <v>1000000</v>
      </c>
      <c r="F61" s="13"/>
      <c r="G61" s="13"/>
      <c r="H61" s="13"/>
      <c r="I61" s="13">
        <f t="shared" si="7"/>
        <v>0</v>
      </c>
      <c r="J61" s="13"/>
      <c r="K61" s="13"/>
      <c r="L61" s="13"/>
      <c r="M61" s="13"/>
      <c r="N61" s="13"/>
      <c r="O61" s="13">
        <f t="shared" si="8"/>
        <v>1000000</v>
      </c>
    </row>
    <row r="62" spans="1:15" ht="30">
      <c r="A62" s="10" t="s">
        <v>177</v>
      </c>
      <c r="B62" s="11"/>
      <c r="C62" s="16" t="s">
        <v>176</v>
      </c>
      <c r="D62" s="13">
        <f>E62+H62</f>
        <v>1500</v>
      </c>
      <c r="E62" s="13">
        <f>1500</f>
        <v>1500</v>
      </c>
      <c r="F62" s="13"/>
      <c r="G62" s="13"/>
      <c r="H62" s="13"/>
      <c r="I62" s="13">
        <f>J62+M62</f>
        <v>0</v>
      </c>
      <c r="J62" s="13"/>
      <c r="K62" s="13"/>
      <c r="L62" s="13"/>
      <c r="M62" s="13"/>
      <c r="N62" s="13"/>
      <c r="O62" s="13">
        <f>D62+I62</f>
        <v>1500</v>
      </c>
    </row>
    <row r="63" spans="1:19" ht="15">
      <c r="A63" s="10" t="s">
        <v>85</v>
      </c>
      <c r="B63" s="11" t="s">
        <v>19</v>
      </c>
      <c r="C63" s="12" t="s">
        <v>86</v>
      </c>
      <c r="D63" s="13">
        <f t="shared" si="6"/>
        <v>400000</v>
      </c>
      <c r="E63" s="13">
        <f>400000</f>
        <v>400000</v>
      </c>
      <c r="F63" s="13"/>
      <c r="G63" s="13"/>
      <c r="H63" s="13"/>
      <c r="I63" s="13">
        <f t="shared" si="7"/>
        <v>0</v>
      </c>
      <c r="J63" s="13"/>
      <c r="K63" s="13"/>
      <c r="L63" s="13"/>
      <c r="M63" s="13"/>
      <c r="N63" s="13"/>
      <c r="O63" s="13">
        <f t="shared" si="8"/>
        <v>400000</v>
      </c>
      <c r="Q63" s="20">
        <f>SUM(O63:O70)+O75+O82</f>
        <v>39117270</v>
      </c>
      <c r="R63">
        <f>'[1]дод.1'!$C$80</f>
        <v>39117270</v>
      </c>
      <c r="S63" s="20">
        <f>R63-Q63</f>
        <v>0</v>
      </c>
    </row>
    <row r="64" spans="1:15" ht="30">
      <c r="A64" s="10" t="s">
        <v>87</v>
      </c>
      <c r="B64" s="11" t="s">
        <v>19</v>
      </c>
      <c r="C64" s="12" t="s">
        <v>173</v>
      </c>
      <c r="D64" s="13">
        <f t="shared" si="6"/>
        <v>340000</v>
      </c>
      <c r="E64" s="13">
        <f>340000</f>
        <v>340000</v>
      </c>
      <c r="F64" s="13"/>
      <c r="G64" s="13"/>
      <c r="H64" s="13"/>
      <c r="I64" s="13">
        <f t="shared" si="7"/>
        <v>0</v>
      </c>
      <c r="J64" s="13"/>
      <c r="K64" s="13"/>
      <c r="L64" s="13"/>
      <c r="M64" s="13"/>
      <c r="N64" s="13"/>
      <c r="O64" s="13">
        <f t="shared" si="8"/>
        <v>340000</v>
      </c>
    </row>
    <row r="65" spans="1:15" ht="15">
      <c r="A65" s="10" t="s">
        <v>88</v>
      </c>
      <c r="B65" s="11" t="s">
        <v>19</v>
      </c>
      <c r="C65" s="12" t="s">
        <v>89</v>
      </c>
      <c r="D65" s="13">
        <f t="shared" si="6"/>
        <v>20000000</v>
      </c>
      <c r="E65" s="13">
        <f>20000000</f>
        <v>20000000</v>
      </c>
      <c r="F65" s="13"/>
      <c r="G65" s="13"/>
      <c r="H65" s="13"/>
      <c r="I65" s="13">
        <f t="shared" si="7"/>
        <v>0</v>
      </c>
      <c r="J65" s="13"/>
      <c r="K65" s="13"/>
      <c r="L65" s="13"/>
      <c r="M65" s="13"/>
      <c r="N65" s="13"/>
      <c r="O65" s="13">
        <f t="shared" si="8"/>
        <v>20000000</v>
      </c>
    </row>
    <row r="66" spans="1:15" ht="30">
      <c r="A66" s="10" t="s">
        <v>90</v>
      </c>
      <c r="B66" s="11" t="s">
        <v>19</v>
      </c>
      <c r="C66" s="12" t="s">
        <v>91</v>
      </c>
      <c r="D66" s="13">
        <f t="shared" si="6"/>
        <v>1700000</v>
      </c>
      <c r="E66" s="13">
        <f>1700000</f>
        <v>1700000</v>
      </c>
      <c r="F66" s="13"/>
      <c r="G66" s="13"/>
      <c r="H66" s="13"/>
      <c r="I66" s="13">
        <f t="shared" si="7"/>
        <v>0</v>
      </c>
      <c r="J66" s="13"/>
      <c r="K66" s="13"/>
      <c r="L66" s="13"/>
      <c r="M66" s="13"/>
      <c r="N66" s="13"/>
      <c r="O66" s="13">
        <f t="shared" si="8"/>
        <v>1700000</v>
      </c>
    </row>
    <row r="67" spans="1:15" ht="15">
      <c r="A67" s="10" t="s">
        <v>92</v>
      </c>
      <c r="B67" s="11" t="s">
        <v>93</v>
      </c>
      <c r="C67" s="12" t="s">
        <v>94</v>
      </c>
      <c r="D67" s="13">
        <f t="shared" si="6"/>
        <v>3100000</v>
      </c>
      <c r="E67" s="13">
        <f>3100000</f>
        <v>3100000</v>
      </c>
      <c r="F67" s="13"/>
      <c r="G67" s="13"/>
      <c r="H67" s="13"/>
      <c r="I67" s="13">
        <f t="shared" si="7"/>
        <v>0</v>
      </c>
      <c r="J67" s="13"/>
      <c r="K67" s="13"/>
      <c r="L67" s="13"/>
      <c r="M67" s="13"/>
      <c r="N67" s="13"/>
      <c r="O67" s="13">
        <f t="shared" si="8"/>
        <v>3100000</v>
      </c>
    </row>
    <row r="68" spans="1:15" ht="15">
      <c r="A68" s="10" t="s">
        <v>95</v>
      </c>
      <c r="B68" s="11" t="s">
        <v>19</v>
      </c>
      <c r="C68" s="12" t="s">
        <v>96</v>
      </c>
      <c r="D68" s="13">
        <f t="shared" si="6"/>
        <v>560000</v>
      </c>
      <c r="E68" s="13">
        <f>560000</f>
        <v>560000</v>
      </c>
      <c r="F68" s="13"/>
      <c r="G68" s="13"/>
      <c r="H68" s="13"/>
      <c r="I68" s="13">
        <f t="shared" si="7"/>
        <v>0</v>
      </c>
      <c r="J68" s="13"/>
      <c r="K68" s="13"/>
      <c r="L68" s="13"/>
      <c r="M68" s="13"/>
      <c r="N68" s="13"/>
      <c r="O68" s="13">
        <f t="shared" si="8"/>
        <v>560000</v>
      </c>
    </row>
    <row r="69" spans="1:15" ht="15">
      <c r="A69" s="10" t="s">
        <v>97</v>
      </c>
      <c r="B69" s="11" t="s">
        <v>19</v>
      </c>
      <c r="C69" s="12" t="s">
        <v>98</v>
      </c>
      <c r="D69" s="13">
        <f t="shared" si="6"/>
        <v>20640</v>
      </c>
      <c r="E69" s="13">
        <f>20640</f>
        <v>20640</v>
      </c>
      <c r="F69" s="13"/>
      <c r="G69" s="13"/>
      <c r="H69" s="13"/>
      <c r="I69" s="13">
        <f t="shared" si="7"/>
        <v>0</v>
      </c>
      <c r="J69" s="13"/>
      <c r="K69" s="13"/>
      <c r="L69" s="13"/>
      <c r="M69" s="13"/>
      <c r="N69" s="13"/>
      <c r="O69" s="13">
        <f t="shared" si="8"/>
        <v>20640</v>
      </c>
    </row>
    <row r="70" spans="1:15" ht="30">
      <c r="A70" s="10" t="s">
        <v>99</v>
      </c>
      <c r="B70" s="11" t="s">
        <v>19</v>
      </c>
      <c r="C70" s="12" t="s">
        <v>100</v>
      </c>
      <c r="D70" s="13">
        <f t="shared" si="6"/>
        <v>5465070</v>
      </c>
      <c r="E70" s="13">
        <f>5465070</f>
        <v>5465070</v>
      </c>
      <c r="F70" s="13"/>
      <c r="G70" s="13"/>
      <c r="H70" s="13"/>
      <c r="I70" s="13">
        <f t="shared" si="7"/>
        <v>0</v>
      </c>
      <c r="J70" s="13"/>
      <c r="K70" s="13"/>
      <c r="L70" s="13"/>
      <c r="M70" s="13"/>
      <c r="N70" s="13"/>
      <c r="O70" s="13">
        <f t="shared" si="8"/>
        <v>5465070</v>
      </c>
    </row>
    <row r="71" spans="1:15" ht="45">
      <c r="A71" s="10" t="s">
        <v>101</v>
      </c>
      <c r="B71" s="11" t="s">
        <v>102</v>
      </c>
      <c r="C71" s="12" t="s">
        <v>103</v>
      </c>
      <c r="D71" s="13">
        <f t="shared" si="6"/>
        <v>16072800</v>
      </c>
      <c r="E71" s="13">
        <f>16072800</f>
        <v>16072800</v>
      </c>
      <c r="F71" s="13"/>
      <c r="G71" s="13"/>
      <c r="H71" s="13"/>
      <c r="I71" s="13">
        <f t="shared" si="7"/>
        <v>0</v>
      </c>
      <c r="J71" s="13"/>
      <c r="K71" s="13"/>
      <c r="L71" s="13"/>
      <c r="M71" s="13"/>
      <c r="N71" s="13"/>
      <c r="O71" s="13">
        <f t="shared" si="8"/>
        <v>16072800</v>
      </c>
    </row>
    <row r="72" spans="1:15" ht="60">
      <c r="A72" s="10" t="s">
        <v>104</v>
      </c>
      <c r="B72" s="11" t="s">
        <v>102</v>
      </c>
      <c r="C72" s="12" t="s">
        <v>105</v>
      </c>
      <c r="D72" s="13">
        <f t="shared" si="6"/>
        <v>17500</v>
      </c>
      <c r="E72" s="13">
        <f>17500</f>
        <v>17500</v>
      </c>
      <c r="F72" s="13"/>
      <c r="G72" s="13"/>
      <c r="H72" s="13"/>
      <c r="I72" s="13">
        <f t="shared" si="7"/>
        <v>0</v>
      </c>
      <c r="J72" s="13"/>
      <c r="K72" s="13"/>
      <c r="L72" s="13"/>
      <c r="M72" s="13"/>
      <c r="N72" s="13"/>
      <c r="O72" s="13">
        <f t="shared" si="8"/>
        <v>17500</v>
      </c>
    </row>
    <row r="73" spans="1:15" ht="60">
      <c r="A73" s="10" t="s">
        <v>106</v>
      </c>
      <c r="B73" s="11" t="s">
        <v>102</v>
      </c>
      <c r="C73" s="12" t="s">
        <v>107</v>
      </c>
      <c r="D73" s="13">
        <f t="shared" si="6"/>
        <v>800000</v>
      </c>
      <c r="E73" s="13">
        <f>800000</f>
        <v>800000</v>
      </c>
      <c r="F73" s="13"/>
      <c r="G73" s="13"/>
      <c r="H73" s="13"/>
      <c r="I73" s="13">
        <f t="shared" si="7"/>
        <v>0</v>
      </c>
      <c r="J73" s="13"/>
      <c r="K73" s="13"/>
      <c r="L73" s="13"/>
      <c r="M73" s="13"/>
      <c r="N73" s="13"/>
      <c r="O73" s="13">
        <f t="shared" si="8"/>
        <v>800000</v>
      </c>
    </row>
    <row r="74" spans="1:15" ht="30">
      <c r="A74" s="10" t="s">
        <v>108</v>
      </c>
      <c r="B74" s="11" t="s">
        <v>109</v>
      </c>
      <c r="C74" s="12" t="s">
        <v>110</v>
      </c>
      <c r="D74" s="13">
        <f t="shared" si="6"/>
        <v>244303.14</v>
      </c>
      <c r="E74" s="13">
        <f>300000-55696.86</f>
        <v>244303.14</v>
      </c>
      <c r="F74" s="13"/>
      <c r="G74" s="13"/>
      <c r="H74" s="13"/>
      <c r="I74" s="13">
        <f t="shared" si="7"/>
        <v>0</v>
      </c>
      <c r="J74" s="13"/>
      <c r="K74" s="13"/>
      <c r="L74" s="13"/>
      <c r="M74" s="13"/>
      <c r="N74" s="13"/>
      <c r="O74" s="13">
        <f t="shared" si="8"/>
        <v>244303.14</v>
      </c>
    </row>
    <row r="75" spans="1:15" ht="30">
      <c r="A75" s="10" t="s">
        <v>111</v>
      </c>
      <c r="B75" s="11" t="s">
        <v>112</v>
      </c>
      <c r="C75" s="12" t="s">
        <v>113</v>
      </c>
      <c r="D75" s="13">
        <f t="shared" si="6"/>
        <v>1430000</v>
      </c>
      <c r="E75" s="13">
        <f>1430000</f>
        <v>1430000</v>
      </c>
      <c r="F75" s="13"/>
      <c r="G75" s="13"/>
      <c r="H75" s="13"/>
      <c r="I75" s="13">
        <f t="shared" si="7"/>
        <v>0</v>
      </c>
      <c r="J75" s="13"/>
      <c r="K75" s="13"/>
      <c r="L75" s="13"/>
      <c r="M75" s="13"/>
      <c r="N75" s="13"/>
      <c r="O75" s="13">
        <f t="shared" si="8"/>
        <v>1430000</v>
      </c>
    </row>
    <row r="76" spans="1:15" ht="76.5" customHeight="1">
      <c r="A76" s="10" t="s">
        <v>174</v>
      </c>
      <c r="B76" s="11"/>
      <c r="C76" s="16" t="s">
        <v>175</v>
      </c>
      <c r="D76" s="13">
        <f>E76+H76</f>
        <v>3000</v>
      </c>
      <c r="E76" s="13">
        <f>3000</f>
        <v>3000</v>
      </c>
      <c r="F76" s="13"/>
      <c r="G76" s="13"/>
      <c r="H76" s="13"/>
      <c r="I76" s="13">
        <f>J76+M76</f>
        <v>0</v>
      </c>
      <c r="J76" s="13"/>
      <c r="K76" s="13"/>
      <c r="L76" s="13"/>
      <c r="M76" s="13"/>
      <c r="N76" s="13"/>
      <c r="O76" s="13">
        <f>D76+I76</f>
        <v>3000</v>
      </c>
    </row>
    <row r="77" spans="1:15" ht="30">
      <c r="A77" s="10" t="s">
        <v>114</v>
      </c>
      <c r="B77" s="11" t="s">
        <v>68</v>
      </c>
      <c r="C77" s="12" t="s">
        <v>115</v>
      </c>
      <c r="D77" s="13">
        <f t="shared" si="6"/>
        <v>10629</v>
      </c>
      <c r="E77" s="13">
        <f>10629</f>
        <v>10629</v>
      </c>
      <c r="F77" s="13"/>
      <c r="G77" s="13"/>
      <c r="H77" s="13"/>
      <c r="I77" s="13">
        <f t="shared" si="7"/>
        <v>0</v>
      </c>
      <c r="J77" s="13"/>
      <c r="K77" s="13"/>
      <c r="L77" s="13"/>
      <c r="M77" s="13"/>
      <c r="N77" s="13"/>
      <c r="O77" s="13">
        <f t="shared" si="8"/>
        <v>10629</v>
      </c>
    </row>
    <row r="78" spans="1:15" ht="30">
      <c r="A78" s="10" t="s">
        <v>116</v>
      </c>
      <c r="B78" s="11" t="s">
        <v>19</v>
      </c>
      <c r="C78" s="12" t="s">
        <v>117</v>
      </c>
      <c r="D78" s="13">
        <f t="shared" si="6"/>
        <v>10000</v>
      </c>
      <c r="E78" s="13">
        <f>20000-10000</f>
        <v>10000</v>
      </c>
      <c r="F78" s="13"/>
      <c r="G78" s="13"/>
      <c r="H78" s="13"/>
      <c r="I78" s="13">
        <f t="shared" si="7"/>
        <v>0</v>
      </c>
      <c r="J78" s="13"/>
      <c r="K78" s="13"/>
      <c r="L78" s="13"/>
      <c r="M78" s="13"/>
      <c r="N78" s="13"/>
      <c r="O78" s="13">
        <f t="shared" si="8"/>
        <v>10000</v>
      </c>
    </row>
    <row r="79" spans="1:20" ht="45">
      <c r="A79" s="10" t="s">
        <v>118</v>
      </c>
      <c r="B79" s="11" t="s">
        <v>119</v>
      </c>
      <c r="C79" s="12" t="s">
        <v>120</v>
      </c>
      <c r="D79" s="13">
        <f t="shared" si="6"/>
        <v>1728892.4</v>
      </c>
      <c r="E79" s="13">
        <f>1740554-11661.6</f>
        <v>1728892.4</v>
      </c>
      <c r="F79" s="13">
        <f>1220827</f>
        <v>1220827</v>
      </c>
      <c r="G79" s="13">
        <f>26249-4870.66</f>
        <v>21378.34</v>
      </c>
      <c r="H79" s="13"/>
      <c r="I79" s="13">
        <f t="shared" si="7"/>
        <v>35000</v>
      </c>
      <c r="J79" s="13">
        <f>29000</f>
        <v>29000</v>
      </c>
      <c r="K79" s="13">
        <f>11000</f>
        <v>11000</v>
      </c>
      <c r="L79" s="13">
        <v>0</v>
      </c>
      <c r="M79" s="13">
        <f>6000</f>
        <v>6000</v>
      </c>
      <c r="N79" s="13"/>
      <c r="O79" s="13">
        <f t="shared" si="8"/>
        <v>1763892.4</v>
      </c>
      <c r="S79">
        <f>35000</f>
        <v>35000</v>
      </c>
      <c r="T79" s="20">
        <f>S79-I79</f>
        <v>0</v>
      </c>
    </row>
    <row r="80" spans="1:15" ht="90">
      <c r="A80" s="10" t="s">
        <v>121</v>
      </c>
      <c r="B80" s="11" t="s">
        <v>112</v>
      </c>
      <c r="C80" s="12" t="s">
        <v>122</v>
      </c>
      <c r="D80" s="13">
        <f t="shared" si="6"/>
        <v>56900</v>
      </c>
      <c r="E80" s="13">
        <f>56900</f>
        <v>56900</v>
      </c>
      <c r="F80" s="13"/>
      <c r="G80" s="13"/>
      <c r="H80" s="13"/>
      <c r="I80" s="13">
        <f t="shared" si="7"/>
        <v>0</v>
      </c>
      <c r="J80" s="13"/>
      <c r="K80" s="13"/>
      <c r="L80" s="13"/>
      <c r="M80" s="13"/>
      <c r="N80" s="13"/>
      <c r="O80" s="13">
        <f t="shared" si="8"/>
        <v>56900</v>
      </c>
    </row>
    <row r="81" spans="1:15" ht="45">
      <c r="A81" s="10" t="s">
        <v>123</v>
      </c>
      <c r="B81" s="11" t="s">
        <v>112</v>
      </c>
      <c r="C81" s="12" t="s">
        <v>124</v>
      </c>
      <c r="D81" s="13">
        <f t="shared" si="6"/>
        <v>580923.9</v>
      </c>
      <c r="E81" s="13">
        <f>605351-24427.1</f>
        <v>580923.9</v>
      </c>
      <c r="F81" s="13">
        <f>360000</f>
        <v>360000</v>
      </c>
      <c r="G81" s="13">
        <f>33081-12315.53</f>
        <v>20765.47</v>
      </c>
      <c r="H81" s="13"/>
      <c r="I81" s="13">
        <f t="shared" si="7"/>
        <v>0</v>
      </c>
      <c r="J81" s="13"/>
      <c r="K81" s="13"/>
      <c r="L81" s="13"/>
      <c r="M81" s="13"/>
      <c r="N81" s="13"/>
      <c r="O81" s="13">
        <f t="shared" si="8"/>
        <v>580923.9</v>
      </c>
    </row>
    <row r="82" spans="1:15" ht="30">
      <c r="A82" s="10" t="s">
        <v>125</v>
      </c>
      <c r="B82" s="11" t="s">
        <v>112</v>
      </c>
      <c r="C82" s="12" t="s">
        <v>126</v>
      </c>
      <c r="D82" s="13">
        <f t="shared" si="6"/>
        <v>6101560</v>
      </c>
      <c r="E82" s="13">
        <f>6101560</f>
        <v>6101560</v>
      </c>
      <c r="F82" s="13"/>
      <c r="G82" s="13"/>
      <c r="H82" s="13"/>
      <c r="I82" s="13">
        <f t="shared" si="7"/>
        <v>0</v>
      </c>
      <c r="J82" s="13"/>
      <c r="K82" s="13"/>
      <c r="L82" s="13"/>
      <c r="M82" s="13"/>
      <c r="N82" s="13"/>
      <c r="O82" s="13">
        <f t="shared" si="8"/>
        <v>6101560</v>
      </c>
    </row>
    <row r="83" spans="1:15" ht="60">
      <c r="A83" s="10" t="s">
        <v>127</v>
      </c>
      <c r="B83" s="11" t="s">
        <v>112</v>
      </c>
      <c r="C83" s="12" t="s">
        <v>128</v>
      </c>
      <c r="D83" s="13">
        <f t="shared" si="6"/>
        <v>11898</v>
      </c>
      <c r="E83" s="13">
        <f>11898</f>
        <v>11898</v>
      </c>
      <c r="F83" s="13"/>
      <c r="G83" s="13"/>
      <c r="H83" s="13"/>
      <c r="I83" s="13">
        <f t="shared" si="7"/>
        <v>0</v>
      </c>
      <c r="J83" s="13"/>
      <c r="K83" s="13"/>
      <c r="L83" s="13"/>
      <c r="M83" s="13"/>
      <c r="N83" s="13"/>
      <c r="O83" s="13">
        <f t="shared" si="8"/>
        <v>11898</v>
      </c>
    </row>
    <row r="84" spans="1:15" ht="30">
      <c r="A84" s="10" t="s">
        <v>129</v>
      </c>
      <c r="B84" s="11" t="s">
        <v>112</v>
      </c>
      <c r="C84" s="12" t="s">
        <v>130</v>
      </c>
      <c r="D84" s="13">
        <f t="shared" si="6"/>
        <v>651</v>
      </c>
      <c r="E84" s="13">
        <f>651</f>
        <v>651</v>
      </c>
      <c r="F84" s="13"/>
      <c r="G84" s="13"/>
      <c r="H84" s="13"/>
      <c r="I84" s="13">
        <f t="shared" si="7"/>
        <v>0</v>
      </c>
      <c r="J84" s="13"/>
      <c r="K84" s="13"/>
      <c r="L84" s="13"/>
      <c r="M84" s="13"/>
      <c r="N84" s="13"/>
      <c r="O84" s="13">
        <f t="shared" si="8"/>
        <v>651</v>
      </c>
    </row>
    <row r="85" spans="1:15" ht="45">
      <c r="A85" s="10" t="s">
        <v>131</v>
      </c>
      <c r="B85" s="11" t="s">
        <v>75</v>
      </c>
      <c r="C85" s="12" t="s">
        <v>132</v>
      </c>
      <c r="D85" s="13">
        <f t="shared" si="6"/>
        <v>1541969.2</v>
      </c>
      <c r="E85" s="13"/>
      <c r="F85" s="13"/>
      <c r="G85" s="13"/>
      <c r="H85" s="13">
        <f>1541969.2</f>
        <v>1541969.2</v>
      </c>
      <c r="I85" s="13">
        <f t="shared" si="7"/>
        <v>0</v>
      </c>
      <c r="J85" s="13"/>
      <c r="K85" s="13"/>
      <c r="L85" s="13"/>
      <c r="M85" s="13"/>
      <c r="N85" s="13"/>
      <c r="O85" s="13">
        <f t="shared" si="8"/>
        <v>1541969.2</v>
      </c>
    </row>
    <row r="86" spans="1:15" ht="30">
      <c r="A86" s="10" t="s">
        <v>133</v>
      </c>
      <c r="B86" s="11" t="s">
        <v>134</v>
      </c>
      <c r="C86" s="12" t="s">
        <v>135</v>
      </c>
      <c r="D86" s="13">
        <f t="shared" si="6"/>
        <v>49950</v>
      </c>
      <c r="E86" s="13"/>
      <c r="F86" s="13"/>
      <c r="G86" s="13"/>
      <c r="H86" s="13">
        <f>84405-34455</f>
        <v>49950</v>
      </c>
      <c r="I86" s="13">
        <f t="shared" si="7"/>
        <v>0</v>
      </c>
      <c r="J86" s="13"/>
      <c r="K86" s="13"/>
      <c r="L86" s="13"/>
      <c r="M86" s="13"/>
      <c r="N86" s="13"/>
      <c r="O86" s="13">
        <f t="shared" si="8"/>
        <v>49950</v>
      </c>
    </row>
    <row r="87" spans="1:15" ht="45">
      <c r="A87" s="10" t="s">
        <v>136</v>
      </c>
      <c r="B87" s="11" t="s">
        <v>75</v>
      </c>
      <c r="C87" s="12" t="s">
        <v>137</v>
      </c>
      <c r="D87" s="13">
        <f t="shared" si="6"/>
        <v>55000</v>
      </c>
      <c r="E87" s="13"/>
      <c r="F87" s="13"/>
      <c r="G87" s="13"/>
      <c r="H87" s="13">
        <f>55000</f>
        <v>55000</v>
      </c>
      <c r="I87" s="13">
        <f t="shared" si="7"/>
        <v>0</v>
      </c>
      <c r="J87" s="13"/>
      <c r="K87" s="13"/>
      <c r="L87" s="13"/>
      <c r="M87" s="13"/>
      <c r="N87" s="13"/>
      <c r="O87" s="13">
        <f t="shared" si="8"/>
        <v>55000</v>
      </c>
    </row>
    <row r="88" spans="1:15" ht="45">
      <c r="A88" s="10" t="s">
        <v>166</v>
      </c>
      <c r="B88" s="11"/>
      <c r="C88" s="16" t="s">
        <v>165</v>
      </c>
      <c r="D88" s="13">
        <f>E88+H88</f>
        <v>136240.56</v>
      </c>
      <c r="E88" s="13">
        <f>24427.1+11661.6+10000+55696.86</f>
        <v>101785.56</v>
      </c>
      <c r="F88" s="13"/>
      <c r="G88" s="13">
        <f>4870.66+12315.53</f>
        <v>17186.190000000002</v>
      </c>
      <c r="H88" s="13">
        <f>34455</f>
        <v>34455</v>
      </c>
      <c r="I88" s="13">
        <f>J88+M88</f>
        <v>0</v>
      </c>
      <c r="J88" s="13"/>
      <c r="K88" s="13"/>
      <c r="L88" s="13"/>
      <c r="M88" s="13"/>
      <c r="N88" s="13"/>
      <c r="O88" s="13">
        <f>D88+I88</f>
        <v>136240.56</v>
      </c>
    </row>
    <row r="89" spans="1:19" ht="45">
      <c r="A89" s="6" t="s">
        <v>138</v>
      </c>
      <c r="B89" s="7"/>
      <c r="C89" s="8" t="s">
        <v>139</v>
      </c>
      <c r="D89" s="9">
        <f t="shared" si="6"/>
        <v>3795300</v>
      </c>
      <c r="E89" s="9">
        <f>SUM(E90:E94)+E95</f>
        <v>3795300</v>
      </c>
      <c r="F89" s="9">
        <f>SUM(F90:F94)+F95</f>
        <v>2612857</v>
      </c>
      <c r="G89" s="9">
        <f>SUM(G90:G94)+G95</f>
        <v>223881.00000000003</v>
      </c>
      <c r="H89" s="9">
        <f>SUM(H90:H94)+H95</f>
        <v>0</v>
      </c>
      <c r="I89" s="9">
        <f t="shared" si="7"/>
        <v>342000</v>
      </c>
      <c r="J89" s="9">
        <f>SUM(J90:J94)+J95</f>
        <v>316800</v>
      </c>
      <c r="K89" s="9">
        <f>SUM(K90:K94)+K95</f>
        <v>157000</v>
      </c>
      <c r="L89" s="9">
        <f>SUM(L90:L94)+L95</f>
        <v>48500</v>
      </c>
      <c r="M89" s="9">
        <f>SUM(M90:M94)+M95</f>
        <v>25200</v>
      </c>
      <c r="N89" s="9">
        <f>SUM(N90:N94)+N95</f>
        <v>0</v>
      </c>
      <c r="O89" s="9">
        <f t="shared" si="8"/>
        <v>4137300</v>
      </c>
      <c r="Q89" s="20">
        <f>3830300-D89</f>
        <v>35000</v>
      </c>
      <c r="S89">
        <f>SUM(S90:S94)</f>
        <v>342000</v>
      </c>
    </row>
    <row r="90" spans="1:15" ht="15">
      <c r="A90" s="10" t="s">
        <v>140</v>
      </c>
      <c r="B90" s="11" t="s">
        <v>141</v>
      </c>
      <c r="C90" s="12" t="s">
        <v>142</v>
      </c>
      <c r="D90" s="13">
        <f t="shared" si="6"/>
        <v>291870.81</v>
      </c>
      <c r="E90" s="13">
        <f>303401-11530.19</f>
        <v>291870.81</v>
      </c>
      <c r="F90" s="13">
        <f>180412</f>
        <v>180412</v>
      </c>
      <c r="G90" s="13">
        <f>40536-6137.5</f>
        <v>34398.5</v>
      </c>
      <c r="H90" s="13"/>
      <c r="I90" s="13">
        <f t="shared" si="7"/>
        <v>0</v>
      </c>
      <c r="J90" s="13"/>
      <c r="K90" s="13"/>
      <c r="L90" s="13"/>
      <c r="M90" s="13"/>
      <c r="N90" s="13"/>
      <c r="O90" s="13">
        <f t="shared" si="8"/>
        <v>291870.81</v>
      </c>
    </row>
    <row r="91" spans="1:20" ht="15">
      <c r="A91" s="10" t="s">
        <v>143</v>
      </c>
      <c r="B91" s="11" t="s">
        <v>141</v>
      </c>
      <c r="C91" s="12" t="s">
        <v>144</v>
      </c>
      <c r="D91" s="13">
        <f t="shared" si="6"/>
        <v>207652.3</v>
      </c>
      <c r="E91" s="13">
        <f>208608-955.7</f>
        <v>207652.3</v>
      </c>
      <c r="F91" s="13">
        <f>159350</f>
        <v>159350</v>
      </c>
      <c r="G91" s="13">
        <f>3151-955.7</f>
        <v>2195.3</v>
      </c>
      <c r="H91" s="13"/>
      <c r="I91" s="13">
        <f t="shared" si="7"/>
        <v>20000</v>
      </c>
      <c r="J91" s="13">
        <f>15000</f>
        <v>15000</v>
      </c>
      <c r="K91" s="13"/>
      <c r="L91" s="13"/>
      <c r="M91" s="13">
        <f>5000</f>
        <v>5000</v>
      </c>
      <c r="N91" s="13"/>
      <c r="O91" s="13">
        <f t="shared" si="8"/>
        <v>227652.3</v>
      </c>
      <c r="S91">
        <f>20000</f>
        <v>20000</v>
      </c>
      <c r="T91" s="20">
        <f>S91-I91</f>
        <v>0</v>
      </c>
    </row>
    <row r="92" spans="1:20" ht="30">
      <c r="A92" s="10" t="s">
        <v>145</v>
      </c>
      <c r="B92" s="11" t="s">
        <v>146</v>
      </c>
      <c r="C92" s="12" t="s">
        <v>147</v>
      </c>
      <c r="D92" s="13">
        <f t="shared" si="6"/>
        <v>356038</v>
      </c>
      <c r="E92" s="13">
        <f>356038</f>
        <v>356038</v>
      </c>
      <c r="F92" s="13">
        <f>252100</f>
        <v>252100</v>
      </c>
      <c r="G92" s="13">
        <f>10812</f>
        <v>10812</v>
      </c>
      <c r="H92" s="13"/>
      <c r="I92" s="13">
        <f t="shared" si="7"/>
        <v>57000</v>
      </c>
      <c r="J92" s="13">
        <f>40000</f>
        <v>40000</v>
      </c>
      <c r="K92" s="13">
        <f>7000</f>
        <v>7000</v>
      </c>
      <c r="L92" s="13">
        <f>5300</f>
        <v>5300</v>
      </c>
      <c r="M92" s="13">
        <f>17000</f>
        <v>17000</v>
      </c>
      <c r="N92" s="13"/>
      <c r="O92" s="13">
        <f t="shared" si="8"/>
        <v>413038</v>
      </c>
      <c r="S92">
        <f>57000</f>
        <v>57000</v>
      </c>
      <c r="T92" s="20">
        <f>S92-I92</f>
        <v>0</v>
      </c>
    </row>
    <row r="93" spans="1:20" ht="15">
      <c r="A93" s="10" t="s">
        <v>148</v>
      </c>
      <c r="B93" s="11" t="s">
        <v>50</v>
      </c>
      <c r="C93" s="12" t="s">
        <v>149</v>
      </c>
      <c r="D93" s="13">
        <f t="shared" si="6"/>
        <v>2238708.6</v>
      </c>
      <c r="E93" s="13">
        <f>2246588-7879.4</f>
        <v>2238708.6</v>
      </c>
      <c r="F93" s="13">
        <f>1523995</f>
        <v>1523995</v>
      </c>
      <c r="G93" s="13">
        <f>169382-7879.4</f>
        <v>161502.6</v>
      </c>
      <c r="H93" s="13"/>
      <c r="I93" s="13">
        <f t="shared" si="7"/>
        <v>255000</v>
      </c>
      <c r="J93" s="13">
        <f>255000</f>
        <v>255000</v>
      </c>
      <c r="K93" s="13">
        <f>150000</f>
        <v>150000</v>
      </c>
      <c r="L93" s="13">
        <f>27000+7200+9000</f>
        <v>43200</v>
      </c>
      <c r="M93" s="13"/>
      <c r="N93" s="13"/>
      <c r="O93" s="13">
        <f t="shared" si="8"/>
        <v>2493708.6</v>
      </c>
      <c r="S93">
        <f>255000</f>
        <v>255000</v>
      </c>
      <c r="T93" s="20">
        <f>S93-I93</f>
        <v>0</v>
      </c>
    </row>
    <row r="94" spans="1:20" ht="15">
      <c r="A94" s="10" t="s">
        <v>25</v>
      </c>
      <c r="B94" s="11" t="s">
        <v>26</v>
      </c>
      <c r="C94" s="12" t="s">
        <v>187</v>
      </c>
      <c r="D94" s="13">
        <f t="shared" si="6"/>
        <v>679660.24</v>
      </c>
      <c r="E94" s="13">
        <f>680665-1004.76</f>
        <v>679660.24</v>
      </c>
      <c r="F94" s="13">
        <f>497000</f>
        <v>497000</v>
      </c>
      <c r="G94" s="13"/>
      <c r="H94" s="13"/>
      <c r="I94" s="13">
        <f t="shared" si="7"/>
        <v>10000</v>
      </c>
      <c r="J94" s="13">
        <f>6800</f>
        <v>6800</v>
      </c>
      <c r="K94" s="13"/>
      <c r="L94" s="13"/>
      <c r="M94" s="13">
        <f>3200</f>
        <v>3200</v>
      </c>
      <c r="N94" s="13"/>
      <c r="O94" s="13">
        <f t="shared" si="8"/>
        <v>689660.24</v>
      </c>
      <c r="S94">
        <f>10000</f>
        <v>10000</v>
      </c>
      <c r="T94" s="20">
        <f>S94-I94</f>
        <v>0</v>
      </c>
    </row>
    <row r="95" spans="1:20" ht="45">
      <c r="A95" s="10" t="s">
        <v>166</v>
      </c>
      <c r="B95" s="11"/>
      <c r="C95" s="16" t="s">
        <v>165</v>
      </c>
      <c r="D95" s="13">
        <f>E95+H95</f>
        <v>21370.050000000003</v>
      </c>
      <c r="E95" s="13">
        <f>1004.76+7879.4+955.7+11530.19</f>
        <v>21370.050000000003</v>
      </c>
      <c r="F95" s="13"/>
      <c r="G95" s="13">
        <f>6137.5+955.7+7879.4</f>
        <v>14972.599999999999</v>
      </c>
      <c r="H95" s="13"/>
      <c r="I95" s="13">
        <f>J95+M95</f>
        <v>0</v>
      </c>
      <c r="J95" s="13"/>
      <c r="K95" s="13"/>
      <c r="L95" s="13"/>
      <c r="M95" s="13"/>
      <c r="N95" s="13"/>
      <c r="O95" s="13">
        <f>D95+I95</f>
        <v>21370.050000000003</v>
      </c>
      <c r="T95" s="20"/>
    </row>
    <row r="96" spans="1:15" ht="30">
      <c r="A96" s="10">
        <v>76</v>
      </c>
      <c r="B96" s="11"/>
      <c r="C96" s="17" t="s">
        <v>154</v>
      </c>
      <c r="D96" s="9">
        <f>D97</f>
        <v>100000</v>
      </c>
      <c r="E96" s="9">
        <f>E97</f>
        <v>0</v>
      </c>
      <c r="F96" s="9">
        <f>F97</f>
        <v>0</v>
      </c>
      <c r="G96" s="9">
        <f>G97</f>
        <v>0</v>
      </c>
      <c r="H96" s="9">
        <f>H97</f>
        <v>0</v>
      </c>
      <c r="I96" s="9">
        <f>J96+M96</f>
        <v>0</v>
      </c>
      <c r="J96" s="9">
        <f>J97</f>
        <v>0</v>
      </c>
      <c r="K96" s="9">
        <f>K97</f>
        <v>0</v>
      </c>
      <c r="L96" s="9">
        <f>L97</f>
        <v>0</v>
      </c>
      <c r="M96" s="9">
        <f>M97</f>
        <v>0</v>
      </c>
      <c r="N96" s="9">
        <f>N97</f>
        <v>0</v>
      </c>
      <c r="O96" s="9">
        <f>D96+I96</f>
        <v>100000</v>
      </c>
    </row>
    <row r="97" spans="1:15" ht="15">
      <c r="A97" s="10">
        <v>250102</v>
      </c>
      <c r="B97" s="11"/>
      <c r="C97" s="16" t="s">
        <v>172</v>
      </c>
      <c r="D97" s="13">
        <f>100000</f>
        <v>100000</v>
      </c>
      <c r="E97" s="13"/>
      <c r="F97" s="13"/>
      <c r="G97" s="13"/>
      <c r="H97" s="13"/>
      <c r="I97" s="13">
        <f>J97+M97</f>
        <v>0</v>
      </c>
      <c r="J97" s="13"/>
      <c r="K97" s="13"/>
      <c r="L97" s="13"/>
      <c r="M97" s="13"/>
      <c r="N97" s="13"/>
      <c r="O97" s="13">
        <f>D97+I97</f>
        <v>100000</v>
      </c>
    </row>
    <row r="98" spans="1:19" ht="15">
      <c r="A98" s="14" t="s">
        <v>150</v>
      </c>
      <c r="B98" s="7"/>
      <c r="C98" s="8" t="s">
        <v>5</v>
      </c>
      <c r="D98" s="9">
        <f>D96+D89+D51+D40+D12</f>
        <v>143757731.2</v>
      </c>
      <c r="E98" s="9">
        <f>E96+E89+E51+E40+E12</f>
        <v>135191757</v>
      </c>
      <c r="F98" s="9">
        <f>F96+F89+F51+F40+F12</f>
        <v>37846712</v>
      </c>
      <c r="G98" s="9">
        <f>G96+G89+G51+G40+G12</f>
        <v>7828968.999999999</v>
      </c>
      <c r="H98" s="9">
        <f>H96+H89+H51+H40+H12</f>
        <v>8465974.2</v>
      </c>
      <c r="I98" s="9">
        <f>J98+M98</f>
        <v>11811226</v>
      </c>
      <c r="J98" s="9">
        <f>J96+J89+J51+J40+J12</f>
        <v>2456149</v>
      </c>
      <c r="K98" s="9">
        <f>K96+K89+K51+K40+K12</f>
        <v>473344</v>
      </c>
      <c r="L98" s="9">
        <f>L96+L89+L51+L40+L12</f>
        <v>229668</v>
      </c>
      <c r="M98" s="9">
        <f>M96+M89+M51+M40+M12</f>
        <v>9355077</v>
      </c>
      <c r="N98" s="9">
        <f>N96+N89+N51+N40+N12</f>
        <v>5629424</v>
      </c>
      <c r="O98" s="9">
        <f>D98+I98</f>
        <v>155568957.2</v>
      </c>
      <c r="S98">
        <f>S94+S93+S92+S91+S79+S46+S42+S41+S22+S15</f>
        <v>2519102</v>
      </c>
    </row>
    <row r="99" ht="15">
      <c r="D99" s="21"/>
    </row>
    <row r="100" spans="3:5" ht="15">
      <c r="C100" s="1" t="s">
        <v>151</v>
      </c>
      <c r="D100" s="21"/>
      <c r="E100" s="1" t="s">
        <v>152</v>
      </c>
    </row>
    <row r="102" spans="3:19" ht="15" customHeight="1">
      <c r="C102" t="s">
        <v>181</v>
      </c>
      <c r="D102" s="21">
        <f>'[1]дод.1'!$D$87</f>
        <v>152507731.2</v>
      </c>
      <c r="F102">
        <f>330850+2612857+1955457+28239288+4708260</f>
        <v>37846712</v>
      </c>
      <c r="G102">
        <f>6939970+311324+247702+223881+106092</f>
        <v>7828969</v>
      </c>
      <c r="I102">
        <f>'[1]дод.1'!$E$87</f>
        <v>3061226</v>
      </c>
      <c r="N102">
        <f>'[1]дод.1'!$F$87</f>
        <v>541724</v>
      </c>
      <c r="O102" s="21">
        <f>'[1]дод.1'!$C$87</f>
        <v>155568957.2</v>
      </c>
      <c r="S102">
        <f>'[1]дод.1'!$E$62</f>
        <v>2519102</v>
      </c>
    </row>
    <row r="103" spans="3:19" ht="15">
      <c r="C103" t="s">
        <v>182</v>
      </c>
      <c r="D103" s="21">
        <f>D102-D98</f>
        <v>8750000</v>
      </c>
      <c r="F103" s="20">
        <f>F102-F98</f>
        <v>0</v>
      </c>
      <c r="G103" s="20">
        <f>G102-G98</f>
        <v>0</v>
      </c>
      <c r="I103" s="21">
        <f>I102-I98</f>
        <v>-8750000</v>
      </c>
      <c r="N103" s="21">
        <f>N102-N98</f>
        <v>-5087700</v>
      </c>
      <c r="O103" s="21">
        <f>O102-O98</f>
        <v>0</v>
      </c>
      <c r="S103">
        <f>S102-S98</f>
        <v>0</v>
      </c>
    </row>
    <row r="104" spans="3:14" ht="15">
      <c r="C104" t="s">
        <v>188</v>
      </c>
      <c r="G104">
        <f>31167+14972.6+36097.61+73702.92+1231895.89</f>
        <v>1387836.02</v>
      </c>
      <c r="N104" s="21">
        <f>5087700+N103</f>
        <v>0</v>
      </c>
    </row>
    <row r="105" spans="4:16" ht="33" customHeight="1">
      <c r="D105" s="30" t="s">
        <v>200</v>
      </c>
      <c r="E105" s="30"/>
      <c r="F105" s="31"/>
      <c r="G105" s="20">
        <f>G98-G102</f>
        <v>0</v>
      </c>
      <c r="J105" s="27" t="s">
        <v>201</v>
      </c>
      <c r="K105" s="27"/>
      <c r="L105" s="28"/>
      <c r="M105" s="25"/>
      <c r="N105" s="27" t="s">
        <v>202</v>
      </c>
      <c r="O105" s="27"/>
      <c r="P105" s="28"/>
    </row>
    <row r="106" spans="4:9" ht="15">
      <c r="D106" s="21">
        <f>8750000-D103</f>
        <v>0</v>
      </c>
      <c r="G106" s="20"/>
      <c r="I106" s="21">
        <f>8750000+I103</f>
        <v>0</v>
      </c>
    </row>
    <row r="107" spans="3:7" ht="15">
      <c r="C107" t="s">
        <v>190</v>
      </c>
      <c r="D107" s="20">
        <f>D87+D85+D84+D83+D82+D77+D75+D73+D72+D71+D70+D69+D68+D67+D66+D65+D64+D63+D62+D61+D60+D59+D58+D57+D56+D55+D53+D52</f>
        <v>70794231.2</v>
      </c>
      <c r="G107" s="20"/>
    </row>
    <row r="108" spans="3:4" ht="15">
      <c r="C108" t="s">
        <v>189</v>
      </c>
      <c r="D108" s="20">
        <f>D98-D107</f>
        <v>72963499.99999999</v>
      </c>
    </row>
    <row r="109" spans="3:7" ht="15">
      <c r="C109" t="s">
        <v>191</v>
      </c>
      <c r="D109" s="20">
        <f>D13</f>
        <v>6807664.76</v>
      </c>
      <c r="E109" s="20">
        <f>D109+D110</f>
        <v>6928662</v>
      </c>
      <c r="F109">
        <f>6928662</f>
        <v>6928662</v>
      </c>
      <c r="G109" s="20">
        <f>F109-E109</f>
        <v>0</v>
      </c>
    </row>
    <row r="110" spans="3:4" ht="15">
      <c r="C110" t="s">
        <v>192</v>
      </c>
      <c r="D110">
        <f>120997.24</f>
        <v>120997.24</v>
      </c>
    </row>
    <row r="111" spans="3:7" ht="15">
      <c r="C111" t="s">
        <v>193</v>
      </c>
      <c r="D111" s="20">
        <f>D41+D42+D43+D44+D45+D46+D47</f>
        <v>47931506.8</v>
      </c>
      <c r="E111" s="20">
        <f>D111+D112</f>
        <v>49762904</v>
      </c>
      <c r="F111" s="20">
        <f>E111-G111</f>
        <v>0</v>
      </c>
      <c r="G111">
        <f>31281500+18481404</f>
        <v>49762904</v>
      </c>
    </row>
    <row r="112" spans="3:6" ht="15">
      <c r="C112" t="s">
        <v>192</v>
      </c>
      <c r="D112">
        <f>1831397.2</f>
        <v>1831397.2</v>
      </c>
      <c r="E112" s="20">
        <f>D50</f>
        <v>1873290.6199999999</v>
      </c>
      <c r="F112" s="20">
        <f>E112-D112</f>
        <v>41893.419999999925</v>
      </c>
    </row>
    <row r="113" spans="3:5" ht="15">
      <c r="C113" t="s">
        <v>194</v>
      </c>
      <c r="D113" s="20">
        <f>D17+D18+D19+D20+D48+D74+D78+D79+D80+D81</f>
        <v>3307764.85</v>
      </c>
      <c r="E113" s="20">
        <f>D113+D114</f>
        <v>3427229</v>
      </c>
    </row>
    <row r="114" spans="3:4" ht="15">
      <c r="C114" t="s">
        <v>192</v>
      </c>
      <c r="D114">
        <f>119464.15</f>
        <v>119464.15</v>
      </c>
    </row>
    <row r="115" spans="3:4" ht="15">
      <c r="C115" t="s">
        <v>195</v>
      </c>
      <c r="D115" s="20">
        <f>D89+D27</f>
        <v>3830300</v>
      </c>
    </row>
    <row r="116" spans="3:4" ht="15">
      <c r="C116" t="s">
        <v>198</v>
      </c>
      <c r="D116">
        <f>21370.05</f>
        <v>21370.05</v>
      </c>
    </row>
    <row r="117" spans="3:5" ht="15">
      <c r="C117" t="s">
        <v>196</v>
      </c>
      <c r="D117" s="20">
        <f>D49+D30</f>
        <v>817146.58</v>
      </c>
      <c r="E117" s="20">
        <f>D117+D118</f>
        <v>875000</v>
      </c>
    </row>
    <row r="118" spans="3:4" ht="15">
      <c r="C118" t="s">
        <v>192</v>
      </c>
      <c r="D118">
        <f>15960+41893.42</f>
        <v>57853.42</v>
      </c>
    </row>
    <row r="119" spans="3:7" ht="15">
      <c r="C119" t="s">
        <v>197</v>
      </c>
      <c r="D119" s="20">
        <f>D97+D86+D39+D37+D29+D28+D23</f>
        <v>5955555</v>
      </c>
      <c r="E119" s="20">
        <f>D119+D120</f>
        <v>6031305</v>
      </c>
      <c r="F119">
        <f>6096705</f>
        <v>6096705</v>
      </c>
      <c r="G119" s="20">
        <f>F119-E119</f>
        <v>65400</v>
      </c>
    </row>
    <row r="120" spans="3:4" ht="15">
      <c r="C120" t="s">
        <v>192</v>
      </c>
      <c r="D120">
        <f>41295+34455</f>
        <v>75750</v>
      </c>
    </row>
    <row r="121" spans="3:6" ht="15">
      <c r="C121" t="s">
        <v>199</v>
      </c>
      <c r="D121">
        <f>D120+D118+D116+D114+D112+D110</f>
        <v>2226832.06</v>
      </c>
      <c r="E121" s="20">
        <f>D95+D88+D50+D38</f>
        <v>2226832.06</v>
      </c>
      <c r="F121" s="20">
        <f>E121-D121</f>
        <v>0</v>
      </c>
    </row>
  </sheetData>
  <sheetProtection/>
  <mergeCells count="23">
    <mergeCell ref="L2:N3"/>
    <mergeCell ref="L9:L10"/>
    <mergeCell ref="M8:M10"/>
    <mergeCell ref="A7:A10"/>
    <mergeCell ref="B7:B10"/>
    <mergeCell ref="C7:C10"/>
    <mergeCell ref="D7:H7"/>
    <mergeCell ref="D8:D10"/>
    <mergeCell ref="J8:J10"/>
    <mergeCell ref="K8:L8"/>
    <mergeCell ref="E8:E10"/>
    <mergeCell ref="F8:G8"/>
    <mergeCell ref="D105:F105"/>
    <mergeCell ref="J105:L105"/>
    <mergeCell ref="N105:P105"/>
    <mergeCell ref="N9:N10"/>
    <mergeCell ref="O7:O10"/>
    <mergeCell ref="F9:F10"/>
    <mergeCell ref="G9:G10"/>
    <mergeCell ref="H8:H10"/>
    <mergeCell ref="I7:N7"/>
    <mergeCell ref="I8:I10"/>
    <mergeCell ref="K9:K10"/>
  </mergeCells>
  <printOptions/>
  <pageMargins left="0.1968503937007874" right="0.1968503937007874" top="0.3937007874015748" bottom="0.3937007874015748" header="0" footer="0"/>
  <pageSetup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Admin</cp:lastModifiedBy>
  <cp:lastPrinted>2015-01-11T11:37:47Z</cp:lastPrinted>
  <dcterms:created xsi:type="dcterms:W3CDTF">2015-01-06T11:00:12Z</dcterms:created>
  <dcterms:modified xsi:type="dcterms:W3CDTF">2015-01-14T13:57:39Z</dcterms:modified>
  <cp:category/>
  <cp:version/>
  <cp:contentType/>
  <cp:contentStatus/>
</cp:coreProperties>
</file>