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45" windowWidth="12120" windowHeight="8520" activeTab="0"/>
  </bookViews>
  <sheets>
    <sheet name="Лист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Print_Titles" localSheetId="0">'Лист1'!$6:$9</definedName>
    <definedName name="_xlnm.Print_Area" localSheetId="0">'Лист1'!$A$1:$M$102</definedName>
  </definedNames>
  <calcPr fullCalcOnLoad="1"/>
</workbook>
</file>

<file path=xl/sharedStrings.xml><?xml version="1.0" encoding="utf-8"?>
<sst xmlns="http://schemas.openxmlformats.org/spreadsheetml/2006/main" count="190" uniqueCount="145">
  <si>
    <t>Додаток 2</t>
  </si>
  <si>
    <t>грн.</t>
  </si>
  <si>
    <t>Код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</si>
  <si>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</si>
  <si>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</si>
  <si>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</si>
  <si>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</si>
  <si>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</si>
  <si>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</si>
  <si>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</si>
  <si>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</si>
  <si>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</si>
  <si>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Державне управлiння</t>
  </si>
  <si>
    <t>Органи мiсцевого самоврядування</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</si>
  <si>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</si>
  <si>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</si>
  <si>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</si>
  <si>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</si>
  <si>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</si>
  <si>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</si>
  <si>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</si>
  <si>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</si>
  <si>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Соцiальний захист та соцiальне забезпечення</t>
  </si>
  <si>
    <t>Iншi видатки на соціальний захист населення</t>
  </si>
  <si>
    <t>Утримання центрiв соцiальних служб для сім`ї, дітей та молоді</t>
  </si>
  <si>
    <t>Соціальні програми i заходи державних органiв у справах молоді</t>
  </si>
  <si>
    <t>Iншi видатки</t>
  </si>
  <si>
    <t>Житлово-комунальне господарство</t>
  </si>
  <si>
    <t>Благоустрiй мiст, сіл, селищ</t>
  </si>
  <si>
    <t>Культура i мистецтво</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</si>
  <si>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</si>
  <si>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</si>
  <si>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</si>
  <si>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</si>
  <si>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</si>
  <si>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Засоби масової iнформацiї</t>
  </si>
  <si>
    <t>Телебачення i радiомовлення</t>
  </si>
  <si>
    <t>Перiодичнi видання (газети та журнали)</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</si>
  <si>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</si>
  <si>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</si>
  <si>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</si>
  <si>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</si>
  <si>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</si>
  <si>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</si>
  <si>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</si>
  <si>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</si>
  <si>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</si>
  <si>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</si>
  <si>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Секретар міської ради</t>
  </si>
  <si>
    <t>О.Д.Степанишин</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</si>
  <si>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</si>
  <si>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РАЗОМ ВИДАТКІВ</t>
  </si>
  <si>
    <t>Дитячi будинки (в т.ч. сiмейного типу, прийомнi сiм`ї)</t>
  </si>
  <si>
    <t>Пільги на медичне обслуговування громадянам, які постраждали внаслідок Чорнобильської катастрофи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</si>
  <si>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</si>
  <si>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Допомога на догляд за інвалідом I чи II групи внаслідок психічного розладу</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</si>
  <si>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</si>
  <si>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</si>
  <si>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</si>
  <si>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</si>
  <si>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</si>
  <si>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</si>
  <si>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</si>
  <si>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</si>
  <si>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Пільги багатодітним сім"ям на житлово-комунальні послуги</t>
  </si>
  <si>
    <t>Утилізація відходів</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</si>
  <si>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</si>
  <si>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</si>
  <si>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</si>
  <si>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</si>
  <si>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Компенсацiйнi виплати за пiльговий проїзд окремих категорiй громадян на залізничному транспорті</t>
  </si>
  <si>
    <t>Пільги окремим категоріям громадян з послуг зв"язку</t>
  </si>
  <si>
    <t>бюджет розвитку</t>
  </si>
  <si>
    <t>капітальні видатки за рахунок коштів, що передаються із загального фонду до бюджету розвитку (спеціальний фонд)</t>
  </si>
  <si>
    <t>за тимчасовою класифікацією видатків та кредитування місцевих бюджетів</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</si>
  <si>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</si>
  <si>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</si>
  <si>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</si>
  <si>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</si>
  <si>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</si>
  <si>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</si>
  <si>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</si>
  <si>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</si>
  <si>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</si>
  <si>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Центри соціальної реабілітації дітей - інвалідів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</si>
  <si>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</si>
  <si>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</si>
  <si>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</si>
  <si>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</si>
  <si>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</si>
  <si>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Територiальнi центри  соцiального обслуговування (надання соціальних послуг)</t>
  </si>
  <si>
    <t>Найменуваннякоду тимчасової класифікації видатків та кредитування місцевих бюджетів</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</si>
  <si>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</si>
  <si>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Видатки на покриття інших заборгованостей, що виникли в попередні роки</t>
  </si>
  <si>
    <t>контроль</t>
  </si>
  <si>
    <t>зміни</t>
  </si>
  <si>
    <t>додаток 3</t>
  </si>
  <si>
    <t>Водопровідно - каналізаційне господарство</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</si>
  <si>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</si>
  <si>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</si>
  <si>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Розробка схем та проектних рішень масового застосування</t>
  </si>
  <si>
    <t>борги</t>
  </si>
  <si>
    <t>Заходи у сфері захисту населення і територій від надзвичайних ситуацій техногенного та природного характеру</t>
  </si>
  <si>
    <t>Капітальний ремонт житлового фонду місцевих органів влади</t>
  </si>
  <si>
    <t>вільні</t>
  </si>
  <si>
    <t>КФК 250403</t>
  </si>
  <si>
    <t>Видатки на проведення робіт, пов`язаних з будiвництвом, реконструкцiєю, ремонтом i утриманням автомобiльних дорiг- субвенція з державного бюджету</t>
  </si>
  <si>
    <t>Видатки на проведення робіт, пов`язаних з будiвництвом, реконструкцiєю, ремонтом i утриманням автомобiльних дорiг- субвенція з обласного бюджету</t>
  </si>
  <si>
    <t>доходи</t>
  </si>
  <si>
    <t>Видатки бюджету міста Старокостянтинова на 2014 рік</t>
  </si>
  <si>
    <t>додаток 1 бюджет</t>
  </si>
  <si>
    <t>додаток 3 бюджет</t>
  </si>
  <si>
    <t>Коменсаційні виплати на пільговий проїзд автомобільним транспортом окремим категоріям громадян</t>
  </si>
  <si>
    <t>Інші заходи у сфері автомобільного транспорту</t>
  </si>
  <si>
    <t>перенес. із заг. на спецфонд -50000</t>
  </si>
  <si>
    <t>перенесення із загального на спецфонд - 50000</t>
  </si>
  <si>
    <t>перенесення із загального на спецфонд -50000</t>
  </si>
  <si>
    <t>додаток 1 лютий</t>
  </si>
  <si>
    <t>додаток 3 лютий</t>
  </si>
  <si>
    <t>Видатки на запобігання та ліквідацію надзвичайних ситуацій та наслідків стихійного лиха</t>
  </si>
  <si>
    <t>перенесення із загального на спецфонд - 50000  та залишки 3450850,70+19688,68= 3470539,98=3520539,38</t>
  </si>
  <si>
    <t>перенесення із загального на спецфонд -50000 та залишки +243240,39+870929 грн.=1114169,39=1064169,39</t>
  </si>
  <si>
    <t>додаток 1 квітень</t>
  </si>
  <si>
    <t>додаток 3 квітень</t>
  </si>
  <si>
    <t>Субвенція з місцевого бюджету державному бюджету на виконання програм соціально-економічного та культурного розвитку районів</t>
  </si>
  <si>
    <t>додаток 1 червень</t>
  </si>
  <si>
    <t>додаток 3 червень</t>
  </si>
  <si>
    <t>Погашення заборгованості з різниці в тарифах на теплову енергію, послуги з центрального водопостачання та  водовідведення, що випробллялсия, транспортувалися та постачалися населенню, яка виникла у зв"язку з невідповідністю фактичної вартості</t>
  </si>
  <si>
    <t>перенесення із загального на спецфонд -50000 та залишки +243240,41+870929 грн.=1114169,39=1064169,41</t>
  </si>
  <si>
    <t>додаток 1 липень</t>
  </si>
  <si>
    <t>додаток 3 липень</t>
  </si>
  <si>
    <t>додаток 1 вересень</t>
  </si>
  <si>
    <t>додаток 3 вересень</t>
  </si>
  <si>
    <t xml:space="preserve">Компенсація населенню додаткових витрат на оплату послуг газопостачання, центрального опалення та централізованого постачання гарячої води» </t>
  </si>
  <si>
    <t>перенесення із загального на спецфонд -50000 та залишки +243240,39+870929 грн.=1114169,39=1064169,41</t>
  </si>
  <si>
    <t>перенесення із загального на спецфонд - 50000  та залишки 3450850,70+19688,68= 3470539,98=3520539,44</t>
  </si>
  <si>
    <t>додаток 1 жовтень</t>
  </si>
  <si>
    <t>додаток 3 жовтень</t>
  </si>
  <si>
    <t>додаток 1 листопад</t>
  </si>
  <si>
    <t>додаток 3 листопад</t>
  </si>
  <si>
    <t>дод4</t>
  </si>
  <si>
    <t>перенесення із загального на спецфонд - 50000+31000+969052=-988052  та залишки 3450850,70+19688,38= 3470539,38=4458591,38</t>
  </si>
  <si>
    <t>ІАС</t>
  </si>
  <si>
    <t>до  рішення 44 сесії міської ради від 28.11.2014р. №4  "Про внесення змін до бюджету міста на 2014 рік"</t>
  </si>
  <si>
    <t>перенесення із загального на спецфонд -50000+31000-969052=-988052 та залишки +243240,41+870929 грн.=1114169,41=126117,41</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</si>
</sst>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45">
    <font>
      <sz val="11"/>
      <color theme="1"/>
      <name val="Calibri"/>
      <family val="2"/>
    </font>
    <font>
      <sz val="11"/>
      <color indexed="8"/>
      <name val="Calibri"/>
      <family val="2"/>
    </font>
    <font>
      <b/>
      <sz val="11"/>
      <color indexed="8"/>
      <name val="Calibri"/>
      <family val="2"/>
    </font>
    <font>
      <b/>
      <sz val="11"/>
      <color indexed="8"/>
      <name val="Arial"/>
      <family val="2"/>
    </font>
    <font>
      <sz val="11"/>
      <color indexed="8"/>
      <name val="Arial"/>
      <family val="2"/>
    </font>
    <font>
      <sz val="10"/>
      <color indexed="8"/>
      <name val="Arial"/>
      <family val="2"/>
    </font>
    <font>
      <b/>
      <sz val="11"/>
      <name val="Arial"/>
      <family val="2"/>
    </font>
    <font>
      <sz val="11"/>
      <name val="Arial"/>
      <family val="2"/>
    </font>
    <font>
      <sz val="11"/>
      <color indexed="10"/>
      <name val="Calibri"/>
      <family val="2"/>
    </font>
    <font>
      <sz val="11"/>
      <color indexed="10"/>
      <name val="Arial"/>
      <family val="2"/>
    </font>
    <font>
      <sz val="11"/>
      <name val="Calibri"/>
      <family val="2"/>
    </font>
    <font>
      <u val="single"/>
      <sz val="7.8"/>
      <color indexed="12"/>
      <name val="Calibri"/>
      <family val="2"/>
    </font>
    <font>
      <u val="single"/>
      <sz val="7.8"/>
      <color indexed="36"/>
      <name val="Calibri"/>
      <family val="2"/>
    </font>
    <font>
      <sz val="9"/>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1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1" borderId="0" applyNumberFormat="0" applyBorder="0" applyAlignment="0" applyProtection="0"/>
  </cellStyleXfs>
  <cellXfs count="66">
    <xf numFmtId="0" fontId="0" fillId="0" borderId="0" xfId="0" applyFont="1" applyAlignment="1">
      <alignment/>
    </xf>
    <xf numFmtId="0" fontId="2" fillId="0" borderId="0" xfId="0" applyFont="1" applyAlignment="1">
      <alignment horizontal="left"/>
    </xf>
    <xf numFmtId="0" fontId="0" fillId="0" borderId="0" xfId="0" applyFill="1" applyAlignment="1">
      <alignment/>
    </xf>
    <xf numFmtId="0" fontId="0" fillId="0" borderId="0" xfId="0" applyFont="1" applyAlignment="1">
      <alignment/>
    </xf>
    <xf numFmtId="0" fontId="4" fillId="0" borderId="0" xfId="0" applyFont="1" applyFill="1" applyAlignment="1">
      <alignment/>
    </xf>
    <xf numFmtId="0" fontId="4" fillId="0" borderId="0" xfId="0" applyFont="1" applyFill="1" applyAlignment="1">
      <alignment horizontal="righ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4" fillId="0" borderId="10" xfId="0" applyFont="1" applyFill="1" applyBorder="1" applyAlignment="1">
      <alignment vertical="center"/>
    </xf>
    <xf numFmtId="0" fontId="4" fillId="0" borderId="10" xfId="0" applyFont="1" applyFill="1" applyBorder="1" applyAlignment="1">
      <alignment vertical="center" wrapText="1"/>
    </xf>
    <xf numFmtId="0" fontId="4" fillId="0" borderId="10" xfId="0" applyFont="1" applyFill="1" applyBorder="1" applyAlignment="1">
      <alignment vertical="top" wrapText="1"/>
    </xf>
    <xf numFmtId="2" fontId="3" fillId="0" borderId="10"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2" fontId="0" fillId="0" borderId="0" xfId="0" applyNumberFormat="1" applyAlignment="1">
      <alignment/>
    </xf>
    <xf numFmtId="0" fontId="4" fillId="0" borderId="10" xfId="0" applyFont="1" applyBorder="1" applyAlignment="1">
      <alignment vertical="top" wrapText="1"/>
    </xf>
    <xf numFmtId="2" fontId="4" fillId="0" borderId="10" xfId="0" applyNumberFormat="1" applyFont="1" applyFill="1" applyBorder="1" applyAlignment="1">
      <alignment horizontal="right" vertical="center"/>
    </xf>
    <xf numFmtId="0" fontId="3" fillId="0" borderId="10" xfId="0" applyFont="1" applyFill="1" applyBorder="1" applyAlignment="1">
      <alignment vertical="top" wrapText="1"/>
    </xf>
    <xf numFmtId="2" fontId="9" fillId="0" borderId="10" xfId="0" applyNumberFormat="1" applyFont="1" applyFill="1" applyBorder="1" applyAlignment="1">
      <alignment horizontal="center" vertical="center"/>
    </xf>
    <xf numFmtId="0" fontId="8" fillId="0" borderId="0" xfId="0" applyFont="1" applyAlignment="1">
      <alignment/>
    </xf>
    <xf numFmtId="0" fontId="7" fillId="0" borderId="10" xfId="0" applyFont="1" applyFill="1" applyBorder="1" applyAlignment="1">
      <alignment vertical="top" wrapText="1"/>
    </xf>
    <xf numFmtId="0" fontId="7" fillId="0" borderId="10" xfId="0" applyFont="1" applyFill="1" applyBorder="1" applyAlignment="1">
      <alignment vertical="center"/>
    </xf>
    <xf numFmtId="2" fontId="7" fillId="0" borderId="10" xfId="0" applyNumberFormat="1" applyFont="1" applyFill="1" applyBorder="1" applyAlignment="1">
      <alignment horizontal="center" vertical="center"/>
    </xf>
    <xf numFmtId="0" fontId="10" fillId="0" borderId="0" xfId="0" applyFont="1" applyAlignment="1">
      <alignment/>
    </xf>
    <xf numFmtId="2" fontId="4" fillId="0" borderId="10" xfId="0" applyNumberFormat="1" applyFont="1" applyFill="1" applyBorder="1" applyAlignment="1">
      <alignment horizontal="center" vertical="top"/>
    </xf>
    <xf numFmtId="0" fontId="6" fillId="0" borderId="10" xfId="0" applyFont="1" applyFill="1" applyBorder="1" applyAlignment="1">
      <alignment vertical="center"/>
    </xf>
    <xf numFmtId="0" fontId="6" fillId="0" borderId="10" xfId="0" applyFont="1" applyFill="1" applyBorder="1" applyAlignment="1">
      <alignment vertical="top" wrapText="1"/>
    </xf>
    <xf numFmtId="2" fontId="6" fillId="0" borderId="10" xfId="0" applyNumberFormat="1" applyFont="1" applyFill="1" applyBorder="1" applyAlignment="1">
      <alignment horizontal="center" vertical="center"/>
    </xf>
    <xf numFmtId="2" fontId="3" fillId="0" borderId="10" xfId="0" applyNumberFormat="1" applyFont="1" applyFill="1" applyBorder="1" applyAlignment="1">
      <alignment horizontal="right" vertical="top"/>
    </xf>
    <xf numFmtId="0" fontId="4" fillId="0" borderId="11" xfId="0" applyFont="1" applyFill="1" applyBorder="1" applyAlignment="1">
      <alignment vertical="center"/>
    </xf>
    <xf numFmtId="0" fontId="0" fillId="0" borderId="0" xfId="0" applyAlignment="1">
      <alignment vertical="center"/>
    </xf>
    <xf numFmtId="2" fontId="10" fillId="0" borderId="0" xfId="0" applyNumberFormat="1" applyFont="1" applyAlignment="1">
      <alignment/>
    </xf>
    <xf numFmtId="2" fontId="4" fillId="0" borderId="10" xfId="0" applyNumberFormat="1" applyFont="1" applyFill="1" applyBorder="1" applyAlignment="1">
      <alignment horizontal="right" vertical="top"/>
    </xf>
    <xf numFmtId="0" fontId="4" fillId="0" borderId="10" xfId="0" applyFont="1" applyFill="1" applyBorder="1" applyAlignment="1">
      <alignment vertical="top"/>
    </xf>
    <xf numFmtId="0" fontId="7" fillId="0" borderId="10" xfId="0" applyFont="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Alignment="1">
      <alignment vertical="top" wrapText="1"/>
    </xf>
    <xf numFmtId="0" fontId="4" fillId="0" borderId="12" xfId="0" applyFont="1" applyFill="1" applyBorder="1" applyAlignment="1">
      <alignment horizontal="left" vertical="center" wrapText="1"/>
    </xf>
    <xf numFmtId="0" fontId="0" fillId="0" borderId="0" xfId="0" applyAlignment="1">
      <alignment vertical="top" wrapText="1"/>
    </xf>
    <xf numFmtId="0" fontId="1" fillId="0" borderId="0" xfId="0" applyFont="1" applyAlignment="1">
      <alignment horizontal="left"/>
    </xf>
    <xf numFmtId="0" fontId="7" fillId="0" borderId="10" xfId="0" applyFont="1" applyBorder="1" applyAlignment="1">
      <alignment horizontal="center" vertical="top"/>
    </xf>
    <xf numFmtId="0" fontId="7" fillId="0" borderId="10" xfId="0" applyFont="1" applyBorder="1" applyAlignment="1">
      <alignment vertical="top" wrapText="1"/>
    </xf>
    <xf numFmtId="0" fontId="0" fillId="0" borderId="0" xfId="0" applyAlignment="1">
      <alignment vertical="top" wrapText="1"/>
    </xf>
    <xf numFmtId="2" fontId="7" fillId="0" borderId="10" xfId="0" applyNumberFormat="1" applyFont="1" applyBorder="1" applyAlignment="1">
      <alignment horizontal="center" vertical="top" wrapText="1"/>
    </xf>
    <xf numFmtId="49" fontId="44" fillId="0" borderId="0" xfId="0" applyNumberFormat="1" applyFont="1"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2" fontId="0" fillId="0" borderId="0" xfId="0" applyNumberFormat="1" applyAlignment="1">
      <alignment vertical="top" wrapText="1"/>
    </xf>
    <xf numFmtId="0" fontId="0" fillId="0" borderId="0" xfId="0" applyAlignment="1">
      <alignment vertical="top" wrapText="1"/>
    </xf>
    <xf numFmtId="0" fontId="0" fillId="0" borderId="0" xfId="0" applyAlignment="1">
      <alignment vertical="top"/>
    </xf>
    <xf numFmtId="0" fontId="13" fillId="0" borderId="0" xfId="0" applyFont="1" applyAlignment="1">
      <alignment vertical="top" wrapText="1"/>
    </xf>
    <xf numFmtId="0" fontId="4"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4" fillId="0" borderId="12" xfId="0" applyFont="1" applyBorder="1" applyAlignment="1">
      <alignment horizontal="center" vertical="center"/>
    </xf>
    <xf numFmtId="0" fontId="0" fillId="0" borderId="0" xfId="0" applyFill="1" applyAlignment="1">
      <alignment vertical="top" wrapText="1"/>
    </xf>
    <xf numFmtId="0" fontId="0" fillId="0" borderId="0" xfId="0" applyAlignment="1">
      <alignment/>
    </xf>
    <xf numFmtId="0" fontId="3" fillId="0" borderId="0" xfId="0" applyFont="1" applyFill="1" applyAlignment="1">
      <alignment horizontal="center"/>
    </xf>
    <xf numFmtId="0" fontId="4" fillId="0" borderId="0" xfId="0" applyFont="1" applyFill="1" applyAlignment="1">
      <alignment horizontal="center"/>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3_&#1073;&#1102;&#1076;&#1078;&#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076;&#1086;&#1076;&#1072;&#1090;&#1086;&#1082;3_&#1083;&#1080;&#1087;&#1077;&#1085;&#110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076;&#1086;&#1076;&#1072;&#1090;&#1086;&#1082;1_&#1083;&#1080;&#1087;&#1077;&#1085;&#110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076;&#1086;&#1076;&#1072;&#1090;&#1086;&#1082;1_&#1074;&#1077;&#1088;&#1077;&#1089;&#1077;&#1085;&#110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076;&#1086;&#1076;&#1072;&#1090;&#1086;&#1082;3_&#1074;&#1077;&#1088;&#1077;&#1089;&#1077;&#1085;&#110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1076;&#1086;&#1076;&#1072;&#1090;&#1086;&#1082;3_&#1083;&#1080;&#1089;&#1090;&#1086;&#1087;&#1072;&#107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1\Desktop\&#1073;&#1102;&#1076;&#1078;&#1077;&#1090;%202014\&#1088;&#1110;&#1096;&#1077;&#1085;&#1085;&#1103;\43\&#1076;&#1086;&#1076;&#1072;&#1090;&#1086;&#1082;1_&#1078;&#1086;&#1074;&#1090;&#1077;&#1085;&#110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1076;&#1086;&#1076;&#1072;&#1090;&#1086;&#1082;4_&#1083;&#1080;&#1089;&#1090;&#1086;&#1087;&#1072;&#107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1076;&#1086;&#1076;&#1072;&#1090;&#1086;&#1082;1_&#1083;&#1080;&#1089;&#1090;&#1086;&#1087;&#1072;&#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6;&#1086;&#1076;&#1072;&#1090;&#1086;&#1082;4_&#1073;&#1102;&#1076;&#1078;&#1077;&#109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76;&#1086;&#1076;&#1072;&#1090;&#1086;&#1082;1_&#1083;&#1102;&#1090;&#1080;&#108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76;&#1086;&#1076;&#1072;&#1090;&#1086;&#1082;3_&#1083;&#1102;&#1090;&#1080;&#108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76;&#1086;&#1076;&#1072;&#1090;&#1086;&#1082;4_&#1083;&#1102;&#1090;&#1080;&#108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76;&#1086;&#1076;&#1072;&#1090;&#1086;&#1082;1_&#1082;&#1074;&#1110;&#1090;&#1077;&#1085;&#11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076;&#1086;&#1076;&#1072;&#1090;&#1086;&#1082;3_&#1082;&#1074;&#1110;&#1090;&#1077;&#1085;&#11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076;&#1086;&#1076;&#1072;&#1090;&#1086;&#1082;1_&#1095;&#1077;&#1088;&#1074;&#1077;&#1085;&#11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076;&#1086;&#1076;&#1072;&#1090;&#1086;&#1082;3_&#1095;&#1077;&#1088;&#1074;&#1077;&#1085;&#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31">
          <cell r="C131">
            <v>124435950</v>
          </cell>
          <cell r="D131">
            <v>36375856</v>
          </cell>
          <cell r="E131">
            <v>4301279</v>
          </cell>
          <cell r="F131">
            <v>14001015</v>
          </cell>
          <cell r="G131">
            <v>4399687</v>
          </cell>
          <cell r="H131">
            <v>646136</v>
          </cell>
          <cell r="I131">
            <v>126407</v>
          </cell>
          <cell r="J131">
            <v>9601328</v>
          </cell>
          <cell r="K131">
            <v>8005448</v>
          </cell>
          <cell r="L131">
            <v>50000</v>
          </cell>
          <cell r="M131">
            <v>138436965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Лист1"/>
    </sheetNames>
    <sheetDataSet>
      <sheetData sheetId="0">
        <row r="101">
          <cell r="C101">
            <v>15500</v>
          </cell>
        </row>
        <row r="106">
          <cell r="C106">
            <v>15000</v>
          </cell>
        </row>
        <row r="135">
          <cell r="C135">
            <v>127698696.41</v>
          </cell>
          <cell r="D135">
            <v>38323138</v>
          </cell>
          <cell r="E135">
            <v>4297706</v>
          </cell>
          <cell r="F135">
            <v>25151420.82</v>
          </cell>
          <cell r="G135">
            <v>8253009.449999999</v>
          </cell>
          <cell r="H135">
            <v>646136</v>
          </cell>
          <cell r="I135">
            <v>126407</v>
          </cell>
          <cell r="J135">
            <v>16898411.37</v>
          </cell>
          <cell r="K135">
            <v>13586627.8</v>
          </cell>
          <cell r="L135">
            <v>50000</v>
          </cell>
          <cell r="M135">
            <v>152850117.23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126634527</v>
          </cell>
          <cell r="D107">
            <v>21630881.439999998</v>
          </cell>
          <cell r="E107">
            <v>11092205</v>
          </cell>
          <cell r="F107">
            <v>148265408.44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126634527</v>
          </cell>
          <cell r="D107">
            <v>21822726.64</v>
          </cell>
          <cell r="E107">
            <v>11092205</v>
          </cell>
          <cell r="F107">
            <v>148457253.64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Лист1"/>
    </sheetNames>
    <sheetDataSet>
      <sheetData sheetId="0">
        <row r="136">
          <cell r="C136">
            <v>127698696.41</v>
          </cell>
          <cell r="D136">
            <v>38303138</v>
          </cell>
          <cell r="E136">
            <v>4319275</v>
          </cell>
          <cell r="F136">
            <v>25343266.080000002</v>
          </cell>
          <cell r="G136">
            <v>8444854.709999999</v>
          </cell>
          <cell r="H136">
            <v>646136</v>
          </cell>
          <cell r="I136">
            <v>126407</v>
          </cell>
          <cell r="J136">
            <v>16898411.37</v>
          </cell>
          <cell r="K136">
            <v>13586627.8</v>
          </cell>
          <cell r="L136">
            <v>50000</v>
          </cell>
          <cell r="M136">
            <v>153041962.49</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Лист1"/>
    </sheetNames>
    <sheetDataSet>
      <sheetData sheetId="0">
        <row r="12">
          <cell r="M12">
            <v>8229186.35</v>
          </cell>
        </row>
        <row r="18">
          <cell r="M18">
            <v>5000</v>
          </cell>
        </row>
        <row r="19">
          <cell r="M19">
            <v>458791.64</v>
          </cell>
        </row>
        <row r="20">
          <cell r="M20">
            <v>7004</v>
          </cell>
        </row>
        <row r="21">
          <cell r="M21">
            <v>326264.7</v>
          </cell>
        </row>
        <row r="25">
          <cell r="M25">
            <v>193746</v>
          </cell>
        </row>
        <row r="26">
          <cell r="M26">
            <v>2899183.75</v>
          </cell>
        </row>
        <row r="27">
          <cell r="M27">
            <v>5069500.32</v>
          </cell>
        </row>
        <row r="36">
          <cell r="M36">
            <v>70000</v>
          </cell>
        </row>
        <row r="37">
          <cell r="M37">
            <v>136000</v>
          </cell>
        </row>
        <row r="40">
          <cell r="M40">
            <v>160000</v>
          </cell>
        </row>
        <row r="42">
          <cell r="M42">
            <v>2201475.03</v>
          </cell>
        </row>
        <row r="43">
          <cell r="M43">
            <v>86646</v>
          </cell>
        </row>
        <row r="45">
          <cell r="M45">
            <v>3140261.1100000003</v>
          </cell>
        </row>
        <row r="46">
          <cell r="M46">
            <v>3177648.1</v>
          </cell>
        </row>
        <row r="47">
          <cell r="M47">
            <v>1214179.8</v>
          </cell>
        </row>
        <row r="49">
          <cell r="M49">
            <v>1655078</v>
          </cell>
        </row>
        <row r="51">
          <cell r="M51">
            <v>20107.58</v>
          </cell>
        </row>
        <row r="52">
          <cell r="M52">
            <v>515155.94</v>
          </cell>
        </row>
        <row r="53">
          <cell r="M53">
            <v>237000</v>
          </cell>
        </row>
        <row r="56">
          <cell r="M56">
            <v>67500</v>
          </cell>
        </row>
        <row r="57">
          <cell r="M57">
            <v>3222.8899999999994</v>
          </cell>
        </row>
        <row r="60">
          <cell r="M60">
            <v>451182.20999999996</v>
          </cell>
        </row>
        <row r="61">
          <cell r="M61">
            <v>191491.8</v>
          </cell>
        </row>
        <row r="65">
          <cell r="M65">
            <v>15914381.5</v>
          </cell>
        </row>
        <row r="66">
          <cell r="M66">
            <v>28730317</v>
          </cell>
        </row>
        <row r="67">
          <cell r="M67">
            <v>1349985.5</v>
          </cell>
        </row>
        <row r="68">
          <cell r="M68">
            <v>600219</v>
          </cell>
        </row>
        <row r="69">
          <cell r="M69">
            <v>947877</v>
          </cell>
        </row>
        <row r="70">
          <cell r="M70">
            <v>1536721</v>
          </cell>
        </row>
        <row r="71">
          <cell r="M71">
            <v>18100</v>
          </cell>
        </row>
        <row r="72">
          <cell r="M72">
            <v>143600</v>
          </cell>
        </row>
        <row r="75">
          <cell r="M75">
            <v>1549955</v>
          </cell>
        </row>
        <row r="76">
          <cell r="M76">
            <v>547342.22</v>
          </cell>
        </row>
        <row r="79">
          <cell r="M79">
            <v>396530</v>
          </cell>
        </row>
        <row r="82">
          <cell r="M82">
            <v>4915900</v>
          </cell>
        </row>
        <row r="83">
          <cell r="M83">
            <v>3000</v>
          </cell>
        </row>
        <row r="84">
          <cell r="M84">
            <v>108450</v>
          </cell>
        </row>
        <row r="85">
          <cell r="M85">
            <v>2026000</v>
          </cell>
        </row>
        <row r="86">
          <cell r="M86">
            <v>195500</v>
          </cell>
        </row>
        <row r="87">
          <cell r="M87">
            <v>500</v>
          </cell>
        </row>
        <row r="88">
          <cell r="M88">
            <v>13094</v>
          </cell>
        </row>
        <row r="89">
          <cell r="M89">
            <v>410000</v>
          </cell>
        </row>
        <row r="90">
          <cell r="M90">
            <v>585600</v>
          </cell>
        </row>
        <row r="91">
          <cell r="M91">
            <v>1217.69</v>
          </cell>
        </row>
        <row r="92">
          <cell r="M92">
            <v>414000</v>
          </cell>
        </row>
        <row r="93">
          <cell r="M93">
            <v>2752997</v>
          </cell>
        </row>
        <row r="94">
          <cell r="M94">
            <v>19289182</v>
          </cell>
        </row>
        <row r="95">
          <cell r="M95">
            <v>1525835</v>
          </cell>
        </row>
        <row r="96">
          <cell r="M96">
            <v>2900000</v>
          </cell>
        </row>
        <row r="97">
          <cell r="M97">
            <v>556580</v>
          </cell>
        </row>
        <row r="98">
          <cell r="M98">
            <v>9720</v>
          </cell>
        </row>
        <row r="99">
          <cell r="M99">
            <v>4609313</v>
          </cell>
        </row>
        <row r="100">
          <cell r="M100">
            <v>10080000</v>
          </cell>
        </row>
        <row r="101">
          <cell r="M101">
            <v>14982.31</v>
          </cell>
        </row>
        <row r="102">
          <cell r="M102">
            <v>600000</v>
          </cell>
        </row>
        <row r="103">
          <cell r="M103">
            <v>263113.72</v>
          </cell>
        </row>
        <row r="104">
          <cell r="M104">
            <v>1400169</v>
          </cell>
        </row>
        <row r="105">
          <cell r="M105">
            <v>3000</v>
          </cell>
        </row>
        <row r="106">
          <cell r="M106">
            <v>42517</v>
          </cell>
        </row>
        <row r="107">
          <cell r="M107">
            <v>15000</v>
          </cell>
        </row>
        <row r="108">
          <cell r="M108">
            <v>1796522</v>
          </cell>
        </row>
        <row r="109">
          <cell r="M109">
            <v>48523.92</v>
          </cell>
        </row>
        <row r="110">
          <cell r="M110">
            <v>644599</v>
          </cell>
        </row>
        <row r="111">
          <cell r="M111">
            <v>5657407</v>
          </cell>
        </row>
        <row r="112">
          <cell r="M112">
            <v>21447</v>
          </cell>
        </row>
        <row r="113">
          <cell r="M113">
            <v>3612</v>
          </cell>
        </row>
        <row r="115">
          <cell r="M115">
            <v>1563789.2</v>
          </cell>
        </row>
        <row r="116">
          <cell r="M116">
            <v>68454</v>
          </cell>
        </row>
        <row r="117">
          <cell r="M117">
            <v>60000</v>
          </cell>
        </row>
        <row r="118">
          <cell r="M118">
            <v>64287.87</v>
          </cell>
        </row>
        <row r="122">
          <cell r="M122">
            <v>321703</v>
          </cell>
        </row>
        <row r="123">
          <cell r="M123">
            <v>288967.83999999997</v>
          </cell>
        </row>
        <row r="124">
          <cell r="M124">
            <v>419541</v>
          </cell>
        </row>
        <row r="125">
          <cell r="M125">
            <v>2839988</v>
          </cell>
        </row>
        <row r="126">
          <cell r="M126">
            <v>698660.74</v>
          </cell>
        </row>
        <row r="129">
          <cell r="M129">
            <v>249.26</v>
          </cell>
        </row>
        <row r="132">
          <cell r="M132">
            <v>17334505.7</v>
          </cell>
        </row>
        <row r="134">
          <cell r="M134">
            <v>99999.99999999999</v>
          </cell>
        </row>
        <row r="136">
          <cell r="C136">
            <v>128058781.61000001</v>
          </cell>
          <cell r="D136">
            <v>38899196</v>
          </cell>
          <cell r="E136">
            <v>4760537.24</v>
          </cell>
          <cell r="F136">
            <v>40910469.08</v>
          </cell>
          <cell r="G136">
            <v>22274005.71</v>
          </cell>
          <cell r="H136">
            <v>646136</v>
          </cell>
          <cell r="I136">
            <v>126407</v>
          </cell>
          <cell r="J136">
            <v>18636463.369999997</v>
          </cell>
          <cell r="K136">
            <v>14355627.799999999</v>
          </cell>
          <cell r="L136">
            <v>19000</v>
          </cell>
          <cell r="M136">
            <v>168969250.69</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126634527</v>
          </cell>
          <cell r="D107">
            <v>21822726.64</v>
          </cell>
          <cell r="E107">
            <v>11092205</v>
          </cell>
          <cell r="F107">
            <v>148457253.64</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Лист1"/>
    </sheetNames>
    <sheetDataSet>
      <sheetData sheetId="0">
        <row r="21">
          <cell r="F21">
            <v>4584708.790000001</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Лист1"/>
    </sheetNames>
    <sheetDataSet>
      <sheetData sheetId="0">
        <row r="98">
          <cell r="C98">
            <v>37715034</v>
          </cell>
        </row>
        <row r="108">
          <cell r="C108">
            <v>127932664.2</v>
          </cell>
          <cell r="D108">
            <v>36451877.7</v>
          </cell>
          <cell r="E108">
            <v>11892205</v>
          </cell>
          <cell r="F108">
            <v>164384541.9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s>
    <sheetDataSet>
      <sheetData sheetId="0">
        <row r="99">
          <cell r="C99">
            <v>14649600</v>
          </cell>
        </row>
        <row r="100">
          <cell r="C100">
            <v>2132762</v>
          </cell>
        </row>
        <row r="101">
          <cell r="C101">
            <v>22200</v>
          </cell>
        </row>
        <row r="104">
          <cell r="C104">
            <v>1563664</v>
          </cell>
        </row>
        <row r="107">
          <cell r="C107">
            <v>126914586</v>
          </cell>
          <cell r="D107">
            <v>16727515</v>
          </cell>
          <cell r="E107">
            <v>7955448</v>
          </cell>
          <cell r="F107">
            <v>143642101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s>
    <sheetDataSet>
      <sheetData sheetId="0">
        <row r="134">
          <cell r="C134">
            <v>127978755.41</v>
          </cell>
          <cell r="D134">
            <v>37406134</v>
          </cell>
          <cell r="E134">
            <v>4301279</v>
          </cell>
          <cell r="F134">
            <v>20248054.380000003</v>
          </cell>
          <cell r="G134">
            <v>6687971.43</v>
          </cell>
          <cell r="H134">
            <v>646136</v>
          </cell>
          <cell r="I134">
            <v>126407</v>
          </cell>
          <cell r="J134">
            <v>13560082.95</v>
          </cell>
          <cell r="K134">
            <v>10449870.8</v>
          </cell>
          <cell r="L134">
            <v>50000</v>
          </cell>
          <cell r="M134">
            <v>148226809.79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s>
    <sheetDataSet>
      <sheetData sheetId="0">
        <row r="21">
          <cell r="F21">
            <v>4584708.79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124502386</v>
          </cell>
          <cell r="D107">
            <v>17021615</v>
          </cell>
          <cell r="E107">
            <v>7955448</v>
          </cell>
          <cell r="F107">
            <v>141524001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Лист1"/>
    </sheetNames>
    <sheetDataSet>
      <sheetData sheetId="0">
        <row r="135">
          <cell r="C135">
            <v>125566555.41</v>
          </cell>
          <cell r="D135">
            <v>36384983</v>
          </cell>
          <cell r="E135">
            <v>4295614</v>
          </cell>
          <cell r="F135">
            <v>20543854.380000003</v>
          </cell>
          <cell r="G135">
            <v>6782571.43</v>
          </cell>
          <cell r="H135">
            <v>646136</v>
          </cell>
          <cell r="I135">
            <v>126407</v>
          </cell>
          <cell r="J135">
            <v>13761282.950000001</v>
          </cell>
          <cell r="K135">
            <v>10449870.8</v>
          </cell>
          <cell r="L135">
            <v>50000</v>
          </cell>
          <cell r="M135">
            <v>146110409.79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123729527</v>
          </cell>
          <cell r="D107">
            <v>19717645</v>
          </cell>
          <cell r="E107">
            <v>9497248</v>
          </cell>
          <cell r="F107">
            <v>143447172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Лист1"/>
    </sheetNames>
    <sheetDataSet>
      <sheetData sheetId="0">
        <row r="135">
          <cell r="C135">
            <v>124793696.41</v>
          </cell>
          <cell r="D135">
            <v>36383402</v>
          </cell>
          <cell r="E135">
            <v>4295615</v>
          </cell>
          <cell r="F135">
            <v>23238184.380000003</v>
          </cell>
          <cell r="G135">
            <v>7934730.01</v>
          </cell>
          <cell r="H135">
            <v>646136</v>
          </cell>
          <cell r="I135">
            <v>126407</v>
          </cell>
          <cell r="J135">
            <v>15303454.370000001</v>
          </cell>
          <cell r="K135">
            <v>11991670.8</v>
          </cell>
          <cell r="L135">
            <v>50000</v>
          </cell>
          <cell r="M135">
            <v>148031880.79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0"/>
  <sheetViews>
    <sheetView tabSelected="1" zoomScale="75" zoomScaleNormal="75" zoomScalePageLayoutView="0" workbookViewId="0" topLeftCell="A1">
      <pane xSplit="2" ySplit="10" topLeftCell="C90" activePane="bottomRight" state="frozen"/>
      <selection pane="topLeft" activeCell="A1" sqref="A1"/>
      <selection pane="topRight" activeCell="C1" sqref="C1"/>
      <selection pane="bottomLeft" activeCell="A14" sqref="A14"/>
      <selection pane="bottomRight" activeCell="D51" sqref="D51"/>
    </sheetView>
  </sheetViews>
  <sheetFormatPr defaultColWidth="9.140625" defaultRowHeight="15"/>
  <cols>
    <col min="1" max="1" width="9.28125" style="0" bestFit="1" customWidth="1"/>
    <col min="2" max="2" width="36.8515625" style="0" customWidth="1"/>
    <col min="3" max="3" width="17.28125" style="0" bestFit="1" customWidth="1"/>
    <col min="4" max="4" width="14.28125" style="0" bestFit="1" customWidth="1"/>
    <col min="5" max="5" width="13.57421875" style="0" customWidth="1"/>
    <col min="6" max="6" width="14.140625" style="0" customWidth="1"/>
    <col min="7" max="7" width="14.7109375" style="0" customWidth="1"/>
    <col min="8" max="8" width="13.140625" style="0" customWidth="1"/>
    <col min="9" max="9" width="11.8515625" style="0" customWidth="1"/>
    <col min="10" max="10" width="14.140625" style="0" customWidth="1"/>
    <col min="11" max="11" width="13.28125" style="0" bestFit="1" customWidth="1"/>
    <col min="12" max="12" width="15.8515625" style="0" bestFit="1" customWidth="1"/>
    <col min="13" max="13" width="15.421875" style="0" bestFit="1" customWidth="1"/>
    <col min="14" max="14" width="5.8515625" style="0" customWidth="1"/>
    <col min="15" max="15" width="14.57421875" style="0" customWidth="1"/>
    <col min="16" max="16" width="13.140625" style="0" customWidth="1"/>
    <col min="18" max="18" width="14.8515625" style="0" customWidth="1"/>
    <col min="19" max="19" width="13.8515625" style="0" bestFit="1" customWidth="1"/>
    <col min="21" max="21" width="12.140625" style="0" bestFit="1" customWidth="1"/>
  </cols>
  <sheetData>
    <row r="1" spans="1:13" ht="15">
      <c r="A1" s="2"/>
      <c r="B1" s="2"/>
      <c r="C1" s="2"/>
      <c r="D1" s="2"/>
      <c r="E1" s="2"/>
      <c r="F1" s="2"/>
      <c r="G1" s="2"/>
      <c r="H1" s="2"/>
      <c r="I1" s="2"/>
      <c r="J1" s="2" t="s">
        <v>0</v>
      </c>
      <c r="K1" s="2"/>
      <c r="L1" s="2"/>
      <c r="M1" s="2"/>
    </row>
    <row r="2" spans="1:13" ht="31.5" customHeight="1">
      <c r="A2" s="2"/>
      <c r="B2" s="2"/>
      <c r="C2" s="2"/>
      <c r="D2" s="2"/>
      <c r="E2" s="2"/>
      <c r="F2" s="2"/>
      <c r="G2" s="2"/>
      <c r="H2" s="2"/>
      <c r="I2" s="2"/>
      <c r="J2" s="56" t="s">
        <v>143</v>
      </c>
      <c r="K2" s="56"/>
      <c r="L2" s="56"/>
      <c r="M2" s="57"/>
    </row>
    <row r="3" spans="1:13" ht="15">
      <c r="A3" s="58" t="s">
        <v>109</v>
      </c>
      <c r="B3" s="59"/>
      <c r="C3" s="59"/>
      <c r="D3" s="59"/>
      <c r="E3" s="59"/>
      <c r="F3" s="59"/>
      <c r="G3" s="59"/>
      <c r="H3" s="59"/>
      <c r="I3" s="59"/>
      <c r="J3" s="59"/>
      <c r="K3" s="59"/>
      <c r="L3" s="59"/>
      <c r="M3" s="59"/>
    </row>
    <row r="4" spans="1:13" ht="18" customHeight="1">
      <c r="A4" s="58" t="s">
        <v>74</v>
      </c>
      <c r="B4" s="59"/>
      <c r="C4" s="59"/>
      <c r="D4" s="59"/>
      <c r="E4" s="59"/>
      <c r="F4" s="59"/>
      <c r="G4" s="59"/>
      <c r="H4" s="59"/>
      <c r="I4" s="59"/>
      <c r="J4" s="59"/>
      <c r="K4" s="59"/>
      <c r="L4" s="59"/>
      <c r="M4" s="59"/>
    </row>
    <row r="5" spans="1:13" ht="15">
      <c r="A5" s="4"/>
      <c r="B5" s="4"/>
      <c r="C5" s="4"/>
      <c r="D5" s="4"/>
      <c r="E5" s="4"/>
      <c r="F5" s="4"/>
      <c r="G5" s="4"/>
      <c r="H5" s="4"/>
      <c r="I5" s="4"/>
      <c r="J5" s="4"/>
      <c r="K5" s="4"/>
      <c r="L5" s="4"/>
      <c r="M5" s="5" t="s">
        <v>1</v>
      </c>
    </row>
    <row r="6" spans="1:13" ht="15">
      <c r="A6" s="53" t="s">
        <v>2</v>
      </c>
      <c r="B6" s="53" t="s">
        <v>91</v>
      </c>
      <c r="C6" s="60" t="s">
        <v>3</v>
      </c>
      <c r="D6" s="60"/>
      <c r="E6" s="60"/>
      <c r="F6" s="60" t="s">
        <v>10</v>
      </c>
      <c r="G6" s="60"/>
      <c r="H6" s="60"/>
      <c r="I6" s="60"/>
      <c r="J6" s="60"/>
      <c r="K6" s="60"/>
      <c r="L6" s="60"/>
      <c r="M6" s="60" t="s">
        <v>11</v>
      </c>
    </row>
    <row r="7" spans="1:13" ht="15">
      <c r="A7" s="53"/>
      <c r="B7" s="53"/>
      <c r="C7" s="53" t="s">
        <v>4</v>
      </c>
      <c r="D7" s="61" t="s">
        <v>6</v>
      </c>
      <c r="E7" s="61"/>
      <c r="F7" s="53" t="s">
        <v>4</v>
      </c>
      <c r="G7" s="61" t="s">
        <v>5</v>
      </c>
      <c r="H7" s="61" t="s">
        <v>6</v>
      </c>
      <c r="I7" s="61"/>
      <c r="J7" s="61" t="s">
        <v>9</v>
      </c>
      <c r="K7" s="62" t="s">
        <v>6</v>
      </c>
      <c r="L7" s="63"/>
      <c r="M7" s="60"/>
    </row>
    <row r="8" spans="1:13" ht="25.5" customHeight="1">
      <c r="A8" s="53"/>
      <c r="B8" s="53"/>
      <c r="C8" s="53"/>
      <c r="D8" s="61" t="s">
        <v>7</v>
      </c>
      <c r="E8" s="61" t="s">
        <v>8</v>
      </c>
      <c r="F8" s="53"/>
      <c r="G8" s="61"/>
      <c r="H8" s="61" t="s">
        <v>7</v>
      </c>
      <c r="I8" s="61" t="s">
        <v>8</v>
      </c>
      <c r="J8" s="61"/>
      <c r="K8" s="64" t="s">
        <v>72</v>
      </c>
      <c r="L8" s="7" t="s">
        <v>6</v>
      </c>
      <c r="M8" s="60"/>
    </row>
    <row r="9" spans="1:19" ht="148.5" customHeight="1">
      <c r="A9" s="53"/>
      <c r="B9" s="53"/>
      <c r="C9" s="53"/>
      <c r="D9" s="61"/>
      <c r="E9" s="61"/>
      <c r="F9" s="53"/>
      <c r="G9" s="61"/>
      <c r="H9" s="61"/>
      <c r="I9" s="61"/>
      <c r="J9" s="61"/>
      <c r="K9" s="65"/>
      <c r="L9" s="7" t="s">
        <v>73</v>
      </c>
      <c r="M9" s="60"/>
      <c r="O9" s="31" t="s">
        <v>96</v>
      </c>
      <c r="P9" s="31" t="s">
        <v>94</v>
      </c>
      <c r="R9" t="s">
        <v>108</v>
      </c>
      <c r="S9" s="31" t="s">
        <v>94</v>
      </c>
    </row>
    <row r="10" spans="1:13" ht="15">
      <c r="A10" s="6">
        <v>1</v>
      </c>
      <c r="B10" s="6">
        <v>2</v>
      </c>
      <c r="C10" s="6">
        <v>3</v>
      </c>
      <c r="D10" s="6">
        <v>4</v>
      </c>
      <c r="E10" s="6">
        <v>5</v>
      </c>
      <c r="F10" s="6">
        <v>6</v>
      </c>
      <c r="G10" s="6">
        <v>7</v>
      </c>
      <c r="H10" s="6">
        <v>8</v>
      </c>
      <c r="I10" s="6">
        <v>9</v>
      </c>
      <c r="J10" s="6">
        <v>10</v>
      </c>
      <c r="K10" s="6">
        <v>11</v>
      </c>
      <c r="L10" s="6">
        <v>12</v>
      </c>
      <c r="M10" s="6">
        <v>13</v>
      </c>
    </row>
    <row r="11" spans="1:16" ht="15">
      <c r="A11" s="8">
        <v>10000</v>
      </c>
      <c r="B11" s="18" t="s">
        <v>12</v>
      </c>
      <c r="C11" s="13">
        <f aca="true" t="shared" si="0" ref="C11:L11">C12</f>
        <v>6921337.35</v>
      </c>
      <c r="D11" s="13">
        <f t="shared" si="0"/>
        <v>4670682</v>
      </c>
      <c r="E11" s="13">
        <f t="shared" si="0"/>
        <v>231149.24</v>
      </c>
      <c r="F11" s="13">
        <f t="shared" si="0"/>
        <v>1307849</v>
      </c>
      <c r="G11" s="13">
        <f t="shared" si="0"/>
        <v>26400</v>
      </c>
      <c r="H11" s="13">
        <f t="shared" si="0"/>
        <v>0</v>
      </c>
      <c r="I11" s="13">
        <f>I12</f>
        <v>2000</v>
      </c>
      <c r="J11" s="13">
        <f t="shared" si="0"/>
        <v>1281449</v>
      </c>
      <c r="K11" s="13">
        <f t="shared" si="0"/>
        <v>1281449</v>
      </c>
      <c r="L11" s="13">
        <f t="shared" si="0"/>
        <v>0</v>
      </c>
      <c r="M11" s="13">
        <f aca="true" t="shared" si="1" ref="M11:M40">C11+F11</f>
        <v>8229186.35</v>
      </c>
      <c r="O11" s="15">
        <f>'[14]Лист1'!$M$12</f>
        <v>8229186.35</v>
      </c>
      <c r="P11" s="15">
        <f>O11-M11</f>
        <v>0</v>
      </c>
    </row>
    <row r="12" spans="1:19" ht="15">
      <c r="A12" s="10">
        <v>10116</v>
      </c>
      <c r="B12" s="12" t="s">
        <v>13</v>
      </c>
      <c r="C12" s="14">
        <f>4627611.93+533400+757687+205000-91900+718000-14192.58-40000+15331+40000+170400</f>
        <v>6921337.35</v>
      </c>
      <c r="D12" s="14">
        <f>2932577+255400+98800+37142+362764+140334+52755+150400-17000-6400+60+450+533000-2000+95000+37400</f>
        <v>4670682</v>
      </c>
      <c r="E12" s="14">
        <f>202805+5000+2083+7728+1060+1212.24+1000+2000+2261+6000</f>
        <v>231149.24</v>
      </c>
      <c r="F12" s="14">
        <f>G12+J12</f>
        <v>1307849</v>
      </c>
      <c r="G12" s="14">
        <f>26400</f>
        <v>26400</v>
      </c>
      <c r="H12" s="14"/>
      <c r="I12" s="14">
        <f>2000</f>
        <v>2000</v>
      </c>
      <c r="J12" s="33">
        <f>146400+162000+300000+1480000+155100-500000+187958-4450-480000-100000+100000-500000+2546-14470+108227+238138</f>
        <v>1281449</v>
      </c>
      <c r="K12" s="33">
        <f>146400+162000+300000+1480000+155100-500000+187958-4450-480000-100000+100000-500000+2546-14470+108227+238138</f>
        <v>1281449</v>
      </c>
      <c r="L12" s="14"/>
      <c r="M12" s="14">
        <f t="shared" si="1"/>
        <v>8229186.35</v>
      </c>
      <c r="R12">
        <f>5209900-48888.37</f>
        <v>5161011.63</v>
      </c>
      <c r="S12" s="15">
        <f>R12-C12</f>
        <v>-1760325.7199999997</v>
      </c>
    </row>
    <row r="13" spans="1:21" ht="15">
      <c r="A13" s="8">
        <v>70000</v>
      </c>
      <c r="B13" s="18" t="s">
        <v>14</v>
      </c>
      <c r="C13" s="13">
        <f>SUM(C14:C21)</f>
        <v>45708444</v>
      </c>
      <c r="D13" s="13">
        <f>SUM(D14:D21)</f>
        <v>28420053</v>
      </c>
      <c r="E13" s="13">
        <f>SUM(E14:E21)</f>
        <v>4230818</v>
      </c>
      <c r="F13" s="13">
        <f>G13+J13</f>
        <v>3785687</v>
      </c>
      <c r="G13" s="13">
        <f aca="true" t="shared" si="2" ref="G13:L13">SUM(G14:G21)</f>
        <v>2284437</v>
      </c>
      <c r="H13" s="13">
        <f t="shared" si="2"/>
        <v>488580</v>
      </c>
      <c r="I13" s="13">
        <f t="shared" si="2"/>
        <v>116397</v>
      </c>
      <c r="J13" s="13">
        <f t="shared" si="2"/>
        <v>1501250</v>
      </c>
      <c r="K13" s="13">
        <f t="shared" si="2"/>
        <v>1460270</v>
      </c>
      <c r="L13" s="13">
        <f t="shared" si="2"/>
        <v>0</v>
      </c>
      <c r="M13" s="13">
        <f t="shared" si="1"/>
        <v>49494131</v>
      </c>
      <c r="R13">
        <f>45640966-263958</f>
        <v>45377008</v>
      </c>
      <c r="S13" s="15">
        <f>R13-C13</f>
        <v>-331436</v>
      </c>
      <c r="T13">
        <f>345131+642019</f>
        <v>987150</v>
      </c>
      <c r="U13" s="15">
        <f>T13+S13</f>
        <v>655714</v>
      </c>
    </row>
    <row r="14" spans="1:16" ht="15">
      <c r="A14" s="10">
        <v>70101</v>
      </c>
      <c r="B14" s="12" t="s">
        <v>15</v>
      </c>
      <c r="C14" s="14">
        <f>14451378+1-627453+408000+71138.5-17594+123145</f>
        <v>14408615.5</v>
      </c>
      <c r="D14" s="14">
        <f>8259482+5135-252974+300000</f>
        <v>8311643</v>
      </c>
      <c r="E14" s="14">
        <f>1667795+1</f>
        <v>1667796</v>
      </c>
      <c r="F14" s="33">
        <f>G14+J14</f>
        <v>1505766</v>
      </c>
      <c r="G14" s="17">
        <f>1261018</f>
        <v>1261018</v>
      </c>
      <c r="H14" s="17">
        <f>57312</f>
        <v>57312</v>
      </c>
      <c r="I14" s="17"/>
      <c r="J14" s="14">
        <f>13720+32028+190000+9000</f>
        <v>244748</v>
      </c>
      <c r="K14" s="14">
        <f>32028+190000+9000</f>
        <v>231028</v>
      </c>
      <c r="L14" s="14"/>
      <c r="M14" s="14">
        <f t="shared" si="1"/>
        <v>15914381.5</v>
      </c>
      <c r="O14" s="15">
        <f>'[14]Лист1'!M65</f>
        <v>15914381.5</v>
      </c>
      <c r="P14" s="15">
        <f aca="true" t="shared" si="3" ref="P14:P82">O14-M14</f>
        <v>0</v>
      </c>
    </row>
    <row r="15" spans="1:16" ht="57">
      <c r="A15" s="10">
        <v>70201</v>
      </c>
      <c r="B15" s="12" t="s">
        <v>16</v>
      </c>
      <c r="C15" s="14">
        <f>26908277+642019-1165264-642019+801600-50000-46793+427729+193897+46629</f>
        <v>27116075</v>
      </c>
      <c r="D15" s="14">
        <f>16948085-605121+588600+449985+193897</f>
        <v>17575446</v>
      </c>
      <c r="E15" s="14">
        <f>2033077+427729</f>
        <v>2460806</v>
      </c>
      <c r="F15" s="33">
        <f>G15+J15</f>
        <v>1614242</v>
      </c>
      <c r="G15" s="14">
        <f>361045</f>
        <v>361045</v>
      </c>
      <c r="H15" s="14">
        <f>50430</f>
        <v>50430</v>
      </c>
      <c r="I15" s="14">
        <f>106874</f>
        <v>106874</v>
      </c>
      <c r="J15" s="14">
        <f>23955+550500+220000-100000+800000-241258</f>
        <v>1253197</v>
      </c>
      <c r="K15" s="14">
        <f>550500+220000-100000+800000-241258</f>
        <v>1229242</v>
      </c>
      <c r="L15" s="14"/>
      <c r="M15" s="14">
        <f t="shared" si="1"/>
        <v>28730317</v>
      </c>
      <c r="O15" s="15">
        <f>'[14]Лист1'!M66</f>
        <v>28730317</v>
      </c>
      <c r="P15" s="15">
        <f t="shared" si="3"/>
        <v>0</v>
      </c>
    </row>
    <row r="16" spans="1:19" ht="28.5">
      <c r="A16" s="10">
        <v>70303</v>
      </c>
      <c r="B16" s="12" t="s">
        <v>52</v>
      </c>
      <c r="C16" s="14">
        <f>345131+72588-21189</f>
        <v>396530</v>
      </c>
      <c r="D16" s="14"/>
      <c r="E16" s="14"/>
      <c r="F16" s="14">
        <f aca="true" t="shared" si="4" ref="F16:F75">G16+J16</f>
        <v>0</v>
      </c>
      <c r="G16" s="14"/>
      <c r="H16" s="14"/>
      <c r="I16" s="14"/>
      <c r="J16" s="14"/>
      <c r="K16" s="14"/>
      <c r="L16" s="14"/>
      <c r="M16" s="14">
        <f t="shared" si="1"/>
        <v>396530</v>
      </c>
      <c r="N16" s="15"/>
      <c r="O16" s="15">
        <f>'[14]Лист1'!M79</f>
        <v>396530</v>
      </c>
      <c r="P16" s="15">
        <f t="shared" si="3"/>
        <v>0</v>
      </c>
      <c r="R16" s="15">
        <f>'[10]Лист1'!$C$101</f>
        <v>15500</v>
      </c>
      <c r="S16" s="15">
        <f>R16-M16</f>
        <v>-381030</v>
      </c>
    </row>
    <row r="17" spans="1:16" ht="28.5">
      <c r="A17" s="10">
        <v>70401</v>
      </c>
      <c r="B17" s="12" t="s">
        <v>17</v>
      </c>
      <c r="C17" s="14">
        <f>1458250-63634+30000-14738.5-2841-49172-7879</f>
        <v>1349985.5</v>
      </c>
      <c r="D17" s="14">
        <f>963649-46754+22000-49172</f>
        <v>889723</v>
      </c>
      <c r="E17" s="14">
        <f>1284</f>
        <v>1284</v>
      </c>
      <c r="F17" s="14">
        <f t="shared" si="4"/>
        <v>0</v>
      </c>
      <c r="G17" s="14"/>
      <c r="H17" s="14"/>
      <c r="I17" s="14"/>
      <c r="J17" s="14"/>
      <c r="K17" s="14"/>
      <c r="L17" s="14"/>
      <c r="M17" s="14">
        <f t="shared" si="1"/>
        <v>1349985.5</v>
      </c>
      <c r="O17" s="15">
        <f>'[14]Лист1'!M67</f>
        <v>1349985.5</v>
      </c>
      <c r="P17" s="15">
        <f t="shared" si="3"/>
        <v>0</v>
      </c>
    </row>
    <row r="18" spans="1:16" ht="28.5">
      <c r="A18" s="10">
        <v>70802</v>
      </c>
      <c r="B18" s="12" t="s">
        <v>18</v>
      </c>
      <c r="C18" s="14">
        <f>623177-32028+10000-930</f>
        <v>600219</v>
      </c>
      <c r="D18" s="14">
        <f>429729-23479+7300</f>
        <v>413550</v>
      </c>
      <c r="E18" s="14">
        <f>12860</f>
        <v>12860</v>
      </c>
      <c r="F18" s="14">
        <f t="shared" si="4"/>
        <v>0</v>
      </c>
      <c r="G18" s="14"/>
      <c r="H18" s="14"/>
      <c r="I18" s="14"/>
      <c r="J18" s="14"/>
      <c r="K18" s="14"/>
      <c r="L18" s="14"/>
      <c r="M18" s="14">
        <f t="shared" si="1"/>
        <v>600219</v>
      </c>
      <c r="O18" s="15">
        <f>'[14]Лист1'!M68</f>
        <v>600219</v>
      </c>
      <c r="P18" s="15">
        <f t="shared" si="3"/>
        <v>0</v>
      </c>
    </row>
    <row r="19" spans="1:16" ht="42.75">
      <c r="A19" s="10">
        <v>70804</v>
      </c>
      <c r="B19" s="12" t="s">
        <v>19</v>
      </c>
      <c r="C19" s="14">
        <f>1028884-50840+47000-2334-65855-8978</f>
        <v>947877</v>
      </c>
      <c r="D19" s="14">
        <f>708879-37303+35000-65855</f>
        <v>640721</v>
      </c>
      <c r="E19" s="14">
        <f>18404</f>
        <v>18404</v>
      </c>
      <c r="F19" s="14">
        <f t="shared" si="4"/>
        <v>0</v>
      </c>
      <c r="G19" s="14"/>
      <c r="H19" s="14"/>
      <c r="I19" s="14"/>
      <c r="J19" s="14"/>
      <c r="K19" s="14"/>
      <c r="L19" s="14"/>
      <c r="M19" s="14">
        <f t="shared" si="1"/>
        <v>947877</v>
      </c>
      <c r="O19" s="15">
        <f>'[14]Лист1'!M69</f>
        <v>947877</v>
      </c>
      <c r="P19" s="15">
        <f t="shared" si="3"/>
        <v>0</v>
      </c>
    </row>
    <row r="20" spans="1:16" ht="15">
      <c r="A20" s="10">
        <v>70806</v>
      </c>
      <c r="B20" s="12" t="s">
        <v>20</v>
      </c>
      <c r="C20" s="14">
        <f>888941-46481+30000-1418</f>
        <v>871042</v>
      </c>
      <c r="D20" s="14">
        <f>601375-34405+22000</f>
        <v>588970</v>
      </c>
      <c r="E20" s="14">
        <f>69668</f>
        <v>69668</v>
      </c>
      <c r="F20" s="14">
        <f t="shared" si="4"/>
        <v>665679</v>
      </c>
      <c r="G20" s="14">
        <f>662374</f>
        <v>662374</v>
      </c>
      <c r="H20" s="14">
        <f>380838</f>
        <v>380838</v>
      </c>
      <c r="I20" s="14">
        <f>9523</f>
        <v>9523</v>
      </c>
      <c r="J20" s="14">
        <f>3305</f>
        <v>3305</v>
      </c>
      <c r="K20" s="14"/>
      <c r="L20" s="14"/>
      <c r="M20" s="14">
        <f t="shared" si="1"/>
        <v>1536721</v>
      </c>
      <c r="O20" s="15">
        <f>'[14]Лист1'!M70</f>
        <v>1536721</v>
      </c>
      <c r="P20" s="15">
        <f t="shared" si="3"/>
        <v>0</v>
      </c>
    </row>
    <row r="21" spans="1:16" ht="57">
      <c r="A21" s="10">
        <v>70808</v>
      </c>
      <c r="B21" s="12" t="s">
        <v>21</v>
      </c>
      <c r="C21" s="14">
        <f>18100</f>
        <v>18100</v>
      </c>
      <c r="D21" s="14"/>
      <c r="E21" s="14"/>
      <c r="F21" s="14">
        <f t="shared" si="4"/>
        <v>0</v>
      </c>
      <c r="G21" s="14"/>
      <c r="H21" s="14"/>
      <c r="I21" s="14"/>
      <c r="J21" s="14"/>
      <c r="K21" s="14"/>
      <c r="L21" s="14"/>
      <c r="M21" s="14">
        <f t="shared" si="1"/>
        <v>18100</v>
      </c>
      <c r="O21" s="15">
        <f>'[14]Лист1'!M71</f>
        <v>18100</v>
      </c>
      <c r="P21" s="15">
        <f t="shared" si="3"/>
        <v>0</v>
      </c>
    </row>
    <row r="22" spans="1:13" ht="30">
      <c r="A22" s="8">
        <v>90000</v>
      </c>
      <c r="B22" s="18" t="s">
        <v>22</v>
      </c>
      <c r="C22" s="13">
        <f>SUM(C23:C58)</f>
        <v>61755473.980000004</v>
      </c>
      <c r="D22" s="13">
        <f>SUM(D23:D58)</f>
        <v>2166435</v>
      </c>
      <c r="E22" s="13">
        <f>SUM(E23:E58)</f>
        <v>72878</v>
      </c>
      <c r="F22" s="13">
        <f>G22+J22</f>
        <v>92968</v>
      </c>
      <c r="G22" s="13">
        <f aca="true" t="shared" si="5" ref="G22:L22">SUM(G23:G58)</f>
        <v>45600</v>
      </c>
      <c r="H22" s="13">
        <f t="shared" si="5"/>
        <v>14940</v>
      </c>
      <c r="I22" s="13">
        <f t="shared" si="5"/>
        <v>0</v>
      </c>
      <c r="J22" s="13">
        <f t="shared" si="5"/>
        <v>47368</v>
      </c>
      <c r="K22" s="13">
        <f t="shared" si="5"/>
        <v>42968</v>
      </c>
      <c r="L22" s="13">
        <f t="shared" si="5"/>
        <v>19000</v>
      </c>
      <c r="M22" s="13">
        <f t="shared" si="1"/>
        <v>61848441.980000004</v>
      </c>
    </row>
    <row r="23" spans="1:19" ht="127.5" customHeight="1">
      <c r="A23" s="10">
        <v>90201</v>
      </c>
      <c r="B23" s="12" t="s">
        <v>77</v>
      </c>
      <c r="C23" s="14">
        <f>4000000+965900-50000</f>
        <v>4915900</v>
      </c>
      <c r="D23" s="14"/>
      <c r="E23" s="14"/>
      <c r="F23" s="14">
        <f t="shared" si="4"/>
        <v>0</v>
      </c>
      <c r="G23" s="14"/>
      <c r="H23" s="14"/>
      <c r="I23" s="14"/>
      <c r="J23" s="14"/>
      <c r="K23" s="14"/>
      <c r="L23" s="14"/>
      <c r="M23" s="14">
        <f t="shared" si="1"/>
        <v>4915900</v>
      </c>
      <c r="N23" s="3"/>
      <c r="O23" s="15">
        <f>'[14]Лист1'!M82</f>
        <v>4915900</v>
      </c>
      <c r="P23" s="15">
        <f t="shared" si="3"/>
        <v>0</v>
      </c>
      <c r="R23" s="15">
        <f>C23+C26+C27+C31+C41</f>
        <v>17803000</v>
      </c>
      <c r="S23" s="15">
        <f>'[3]Лист1'!$C$99-R23</f>
        <v>-3153400</v>
      </c>
    </row>
    <row r="24" spans="1:19" ht="113.25" customHeight="1">
      <c r="A24" s="10">
        <v>90202</v>
      </c>
      <c r="B24" s="12" t="s">
        <v>78</v>
      </c>
      <c r="C24" s="14">
        <f>3000</f>
        <v>3000</v>
      </c>
      <c r="D24" s="14"/>
      <c r="E24" s="14"/>
      <c r="F24" s="14">
        <f t="shared" si="4"/>
        <v>0</v>
      </c>
      <c r="G24" s="14"/>
      <c r="H24" s="14"/>
      <c r="I24" s="14"/>
      <c r="J24" s="14"/>
      <c r="K24" s="14"/>
      <c r="L24" s="14"/>
      <c r="M24" s="14">
        <f t="shared" si="1"/>
        <v>3000</v>
      </c>
      <c r="N24" s="3"/>
      <c r="O24" s="15">
        <f>'[14]Лист1'!M83</f>
        <v>3000</v>
      </c>
      <c r="P24" s="15">
        <f t="shared" si="3"/>
        <v>0</v>
      </c>
      <c r="R24" s="15">
        <f>C24+C32+C42+C46</f>
        <v>22200</v>
      </c>
      <c r="S24" s="15">
        <f>'[3]Лист1'!$C$101-R24</f>
        <v>0</v>
      </c>
    </row>
    <row r="25" spans="1:19" ht="105.75" customHeight="1">
      <c r="A25" s="10">
        <v>90203</v>
      </c>
      <c r="B25" s="12" t="s">
        <v>79</v>
      </c>
      <c r="C25" s="14">
        <f>89450</f>
        <v>89450</v>
      </c>
      <c r="D25" s="17"/>
      <c r="E25" s="17"/>
      <c r="F25" s="14">
        <f t="shared" si="4"/>
        <v>19000</v>
      </c>
      <c r="G25" s="17"/>
      <c r="H25" s="17"/>
      <c r="I25" s="17"/>
      <c r="J25" s="17">
        <f>50000-31000</f>
        <v>19000</v>
      </c>
      <c r="K25" s="17">
        <f>50000-31000</f>
        <v>19000</v>
      </c>
      <c r="L25" s="17">
        <f>50000-31000</f>
        <v>19000</v>
      </c>
      <c r="M25" s="14">
        <f t="shared" si="1"/>
        <v>108450</v>
      </c>
      <c r="N25" s="3"/>
      <c r="O25" s="15">
        <f>'[14]Лист1'!M84</f>
        <v>108450</v>
      </c>
      <c r="P25" s="15">
        <f t="shared" si="3"/>
        <v>0</v>
      </c>
      <c r="R25" s="15">
        <f>M25+M28+M30+M80+M82</f>
        <v>2142739.2</v>
      </c>
      <c r="S25" s="15">
        <f>'[3]Лист1'!$C$100-R25</f>
        <v>-9977.200000000186</v>
      </c>
    </row>
    <row r="26" spans="1:16" ht="133.5" customHeight="1">
      <c r="A26" s="10">
        <v>90204</v>
      </c>
      <c r="B26" s="12" t="s">
        <v>80</v>
      </c>
      <c r="C26" s="14">
        <f>1617000+509000-100000</f>
        <v>2026000</v>
      </c>
      <c r="D26" s="14"/>
      <c r="E26" s="14"/>
      <c r="F26" s="14">
        <f t="shared" si="4"/>
        <v>0</v>
      </c>
      <c r="G26" s="14"/>
      <c r="H26" s="14"/>
      <c r="I26" s="14"/>
      <c r="J26" s="14"/>
      <c r="K26" s="14"/>
      <c r="L26" s="14"/>
      <c r="M26" s="14">
        <f t="shared" si="1"/>
        <v>2026000</v>
      </c>
      <c r="N26" s="3"/>
      <c r="O26" s="15">
        <f>'[14]Лист1'!M85</f>
        <v>2026000</v>
      </c>
      <c r="P26" s="15">
        <f t="shared" si="3"/>
        <v>0</v>
      </c>
    </row>
    <row r="27" spans="1:16" ht="63.75" customHeight="1">
      <c r="A27" s="10">
        <v>90207</v>
      </c>
      <c r="B27" s="12" t="s">
        <v>54</v>
      </c>
      <c r="C27" s="14">
        <f>137000+158500-100000</f>
        <v>195500</v>
      </c>
      <c r="D27" s="14"/>
      <c r="E27" s="14"/>
      <c r="F27" s="14">
        <f t="shared" si="4"/>
        <v>0</v>
      </c>
      <c r="G27" s="14"/>
      <c r="H27" s="14"/>
      <c r="I27" s="14"/>
      <c r="J27" s="14"/>
      <c r="K27" s="14"/>
      <c r="L27" s="14"/>
      <c r="M27" s="14">
        <f t="shared" si="1"/>
        <v>195500</v>
      </c>
      <c r="N27" s="3"/>
      <c r="O27" s="15">
        <f>'[14]Лист1'!M86</f>
        <v>195500</v>
      </c>
      <c r="P27" s="15">
        <f t="shared" si="3"/>
        <v>0</v>
      </c>
    </row>
    <row r="28" spans="1:16" ht="76.5" customHeight="1">
      <c r="A28" s="10">
        <v>90209</v>
      </c>
      <c r="B28" s="12" t="s">
        <v>66</v>
      </c>
      <c r="C28" s="14">
        <f>500</f>
        <v>500</v>
      </c>
      <c r="D28" s="14"/>
      <c r="E28" s="14"/>
      <c r="F28" s="14">
        <f t="shared" si="4"/>
        <v>0</v>
      </c>
      <c r="G28" s="14"/>
      <c r="H28" s="14"/>
      <c r="I28" s="14"/>
      <c r="J28" s="14"/>
      <c r="K28" s="14"/>
      <c r="L28" s="14"/>
      <c r="M28" s="14">
        <f t="shared" si="1"/>
        <v>500</v>
      </c>
      <c r="N28" s="3"/>
      <c r="O28" s="15">
        <f>'[14]Лист1'!M87</f>
        <v>500</v>
      </c>
      <c r="P28" s="15">
        <f t="shared" si="3"/>
        <v>0</v>
      </c>
    </row>
    <row r="29" spans="1:19" ht="41.25" customHeight="1">
      <c r="A29" s="10">
        <v>90212</v>
      </c>
      <c r="B29" s="12" t="s">
        <v>53</v>
      </c>
      <c r="C29" s="14">
        <f>13094</f>
        <v>13094</v>
      </c>
      <c r="D29" s="14"/>
      <c r="E29" s="14"/>
      <c r="F29" s="14">
        <f t="shared" si="4"/>
        <v>0</v>
      </c>
      <c r="G29" s="14"/>
      <c r="H29" s="14"/>
      <c r="I29" s="14"/>
      <c r="J29" s="14"/>
      <c r="K29" s="14"/>
      <c r="L29" s="14"/>
      <c r="M29" s="14">
        <f t="shared" si="1"/>
        <v>13094</v>
      </c>
      <c r="N29" s="3"/>
      <c r="O29" s="15">
        <f>'[14]Лист1'!M88</f>
        <v>13094</v>
      </c>
      <c r="P29" s="15">
        <f t="shared" si="3"/>
        <v>0</v>
      </c>
      <c r="R29" s="15">
        <f>C29+C45+C47+C57+C58</f>
        <v>1480839</v>
      </c>
      <c r="S29" s="15">
        <f>'[3]Лист1'!$C$104-R29</f>
        <v>82825</v>
      </c>
    </row>
    <row r="30" spans="1:16" ht="28.5">
      <c r="A30" s="10">
        <v>90214</v>
      </c>
      <c r="B30" s="12" t="s">
        <v>71</v>
      </c>
      <c r="C30" s="14">
        <f>410000</f>
        <v>410000</v>
      </c>
      <c r="D30" s="14"/>
      <c r="E30" s="14"/>
      <c r="F30" s="14">
        <f t="shared" si="4"/>
        <v>0</v>
      </c>
      <c r="G30" s="14"/>
      <c r="H30" s="14"/>
      <c r="I30" s="14"/>
      <c r="J30" s="14"/>
      <c r="K30" s="14"/>
      <c r="L30" s="14"/>
      <c r="M30" s="14">
        <f t="shared" si="1"/>
        <v>410000</v>
      </c>
      <c r="N30" s="3"/>
      <c r="O30" s="15">
        <f>'[14]Лист1'!M89</f>
        <v>410000</v>
      </c>
      <c r="P30" s="15">
        <f t="shared" si="3"/>
        <v>0</v>
      </c>
    </row>
    <row r="31" spans="1:16" ht="28.5">
      <c r="A31" s="10">
        <v>90215</v>
      </c>
      <c r="B31" s="12" t="s">
        <v>64</v>
      </c>
      <c r="C31" s="14">
        <f>395600+240000-50000</f>
        <v>585600</v>
      </c>
      <c r="D31" s="14"/>
      <c r="E31" s="14"/>
      <c r="F31" s="14">
        <f t="shared" si="4"/>
        <v>0</v>
      </c>
      <c r="G31" s="14"/>
      <c r="H31" s="14"/>
      <c r="I31" s="14"/>
      <c r="J31" s="14"/>
      <c r="K31" s="14"/>
      <c r="L31" s="14"/>
      <c r="M31" s="14">
        <f t="shared" si="1"/>
        <v>585600</v>
      </c>
      <c r="N31" s="3"/>
      <c r="O31" s="15">
        <f>'[14]Лист1'!M90</f>
        <v>585600</v>
      </c>
      <c r="P31" s="15">
        <f t="shared" si="3"/>
        <v>0</v>
      </c>
    </row>
    <row r="32" spans="1:18" ht="42.75">
      <c r="A32" s="10">
        <v>90216</v>
      </c>
      <c r="B32" s="12" t="s">
        <v>81</v>
      </c>
      <c r="C32" s="14">
        <f>700+517.69</f>
        <v>1217.69</v>
      </c>
      <c r="D32" s="14"/>
      <c r="E32" s="14"/>
      <c r="F32" s="14">
        <f t="shared" si="4"/>
        <v>0</v>
      </c>
      <c r="G32" s="14"/>
      <c r="H32" s="14"/>
      <c r="I32" s="14"/>
      <c r="J32" s="14"/>
      <c r="K32" s="14"/>
      <c r="L32" s="14"/>
      <c r="M32" s="14">
        <f t="shared" si="1"/>
        <v>1217.69</v>
      </c>
      <c r="N32" s="3"/>
      <c r="O32" s="15">
        <f>'[14]Лист1'!M91</f>
        <v>1217.69</v>
      </c>
      <c r="P32" s="15">
        <f t="shared" si="3"/>
        <v>0</v>
      </c>
      <c r="R32" s="15">
        <f>SUM(C33:C40)+C56</f>
        <v>37715034</v>
      </c>
    </row>
    <row r="33" spans="1:18" ht="28.5">
      <c r="A33" s="10">
        <v>90302</v>
      </c>
      <c r="B33" s="12" t="s">
        <v>56</v>
      </c>
      <c r="C33" s="14">
        <f>510000-60000-36000</f>
        <v>414000</v>
      </c>
      <c r="D33" s="14"/>
      <c r="E33" s="14"/>
      <c r="F33" s="14">
        <f t="shared" si="4"/>
        <v>0</v>
      </c>
      <c r="G33" s="14"/>
      <c r="H33" s="14"/>
      <c r="I33" s="14"/>
      <c r="J33" s="14"/>
      <c r="K33" s="14"/>
      <c r="L33" s="14"/>
      <c r="M33" s="14">
        <f t="shared" si="1"/>
        <v>414000</v>
      </c>
      <c r="O33" s="15">
        <f>'[14]Лист1'!M92</f>
        <v>414000</v>
      </c>
      <c r="P33" s="15">
        <f t="shared" si="3"/>
        <v>0</v>
      </c>
      <c r="R33" s="15">
        <f>'[17]Лист1'!$C$98-R32</f>
        <v>0</v>
      </c>
    </row>
    <row r="34" spans="1:16" ht="28.5">
      <c r="A34" s="10">
        <v>90303</v>
      </c>
      <c r="B34" s="12" t="s">
        <v>57</v>
      </c>
      <c r="C34" s="14">
        <f>5515000-300000-1530000-932003</f>
        <v>2752997</v>
      </c>
      <c r="D34" s="14"/>
      <c r="E34" s="14"/>
      <c r="F34" s="14">
        <f t="shared" si="4"/>
        <v>0</v>
      </c>
      <c r="G34" s="14"/>
      <c r="H34" s="14"/>
      <c r="I34" s="14"/>
      <c r="J34" s="14"/>
      <c r="K34" s="14"/>
      <c r="L34" s="14"/>
      <c r="M34" s="14">
        <f t="shared" si="1"/>
        <v>2752997</v>
      </c>
      <c r="O34" s="15">
        <f>'[14]Лист1'!M93</f>
        <v>2752997</v>
      </c>
      <c r="P34" s="15">
        <f t="shared" si="3"/>
        <v>0</v>
      </c>
    </row>
    <row r="35" spans="1:16" ht="15">
      <c r="A35" s="10">
        <v>90304</v>
      </c>
      <c r="B35" s="12" t="s">
        <v>82</v>
      </c>
      <c r="C35" s="14">
        <f>21400000-3240000+1200000-70818</f>
        <v>19289182</v>
      </c>
      <c r="D35" s="14"/>
      <c r="E35" s="14"/>
      <c r="F35" s="14">
        <f t="shared" si="4"/>
        <v>0</v>
      </c>
      <c r="G35" s="14"/>
      <c r="H35" s="14"/>
      <c r="I35" s="14"/>
      <c r="J35" s="14"/>
      <c r="K35" s="14"/>
      <c r="L35" s="14"/>
      <c r="M35" s="14">
        <f t="shared" si="1"/>
        <v>19289182</v>
      </c>
      <c r="O35" s="15">
        <f>'[14]Лист1'!M94</f>
        <v>19289182</v>
      </c>
      <c r="P35" s="15">
        <f t="shared" si="3"/>
        <v>0</v>
      </c>
    </row>
    <row r="36" spans="1:16" ht="28.5">
      <c r="A36" s="10">
        <v>90305</v>
      </c>
      <c r="B36" s="12" t="s">
        <v>58</v>
      </c>
      <c r="C36" s="14">
        <f>1876000-60000-120000-170165</f>
        <v>1525835</v>
      </c>
      <c r="D36" s="14"/>
      <c r="E36" s="14"/>
      <c r="F36" s="14">
        <f t="shared" si="4"/>
        <v>0</v>
      </c>
      <c r="G36" s="14"/>
      <c r="H36" s="14"/>
      <c r="I36" s="14"/>
      <c r="J36" s="14"/>
      <c r="K36" s="14"/>
      <c r="L36" s="14"/>
      <c r="M36" s="14">
        <f t="shared" si="1"/>
        <v>1525835</v>
      </c>
      <c r="O36" s="15">
        <f>'[14]Лист1'!M95</f>
        <v>1525835</v>
      </c>
      <c r="P36" s="15">
        <f t="shared" si="3"/>
        <v>0</v>
      </c>
    </row>
    <row r="37" spans="1:16" ht="28.5">
      <c r="A37" s="10">
        <v>90306</v>
      </c>
      <c r="B37" s="12" t="s">
        <v>59</v>
      </c>
      <c r="C37" s="14">
        <f>3160000-180000-80000</f>
        <v>2900000</v>
      </c>
      <c r="D37" s="14"/>
      <c r="E37" s="14"/>
      <c r="F37" s="14">
        <f t="shared" si="4"/>
        <v>0</v>
      </c>
      <c r="G37" s="14"/>
      <c r="H37" s="14"/>
      <c r="I37" s="14"/>
      <c r="J37" s="14"/>
      <c r="K37" s="14"/>
      <c r="L37" s="14"/>
      <c r="M37" s="14">
        <f t="shared" si="1"/>
        <v>2900000</v>
      </c>
      <c r="O37" s="15">
        <f>'[14]Лист1'!M96</f>
        <v>2900000</v>
      </c>
      <c r="P37" s="15">
        <f t="shared" si="3"/>
        <v>0</v>
      </c>
    </row>
    <row r="38" spans="1:16" ht="28.5">
      <c r="A38" s="10">
        <v>90307</v>
      </c>
      <c r="B38" s="12" t="s">
        <v>60</v>
      </c>
      <c r="C38" s="14">
        <f>711000-67514-86906</f>
        <v>556580</v>
      </c>
      <c r="D38" s="14"/>
      <c r="E38" s="14"/>
      <c r="F38" s="14">
        <f t="shared" si="4"/>
        <v>0</v>
      </c>
      <c r="G38" s="14"/>
      <c r="H38" s="14"/>
      <c r="I38" s="14"/>
      <c r="J38" s="14"/>
      <c r="K38" s="14"/>
      <c r="L38" s="14"/>
      <c r="M38" s="14">
        <f t="shared" si="1"/>
        <v>556580</v>
      </c>
      <c r="O38" s="15">
        <f>'[14]Лист1'!M97</f>
        <v>556580</v>
      </c>
      <c r="P38" s="15">
        <f t="shared" si="3"/>
        <v>0</v>
      </c>
    </row>
    <row r="39" spans="1:16" ht="15">
      <c r="A39" s="10">
        <v>90308</v>
      </c>
      <c r="B39" s="12" t="s">
        <v>86</v>
      </c>
      <c r="C39" s="14">
        <f>9720</f>
        <v>9720</v>
      </c>
      <c r="D39" s="14"/>
      <c r="E39" s="14"/>
      <c r="F39" s="14">
        <f>G39+J39</f>
        <v>0</v>
      </c>
      <c r="G39" s="14"/>
      <c r="H39" s="14"/>
      <c r="I39" s="14"/>
      <c r="J39" s="14"/>
      <c r="K39" s="14"/>
      <c r="L39" s="14"/>
      <c r="M39" s="14">
        <f>C39+F39</f>
        <v>9720</v>
      </c>
      <c r="O39" s="15">
        <f>'[14]Лист1'!M98</f>
        <v>9720</v>
      </c>
      <c r="P39" s="15">
        <f t="shared" si="3"/>
        <v>0</v>
      </c>
    </row>
    <row r="40" spans="1:16" ht="28.5">
      <c r="A40" s="10">
        <v>90401</v>
      </c>
      <c r="B40" s="12" t="s">
        <v>61</v>
      </c>
      <c r="C40" s="14">
        <f>4159313+450000</f>
        <v>4609313</v>
      </c>
      <c r="D40" s="14"/>
      <c r="E40" s="14"/>
      <c r="F40" s="14">
        <f t="shared" si="4"/>
        <v>0</v>
      </c>
      <c r="G40" s="14"/>
      <c r="H40" s="14"/>
      <c r="I40" s="14"/>
      <c r="J40" s="14"/>
      <c r="K40" s="14"/>
      <c r="L40" s="14"/>
      <c r="M40" s="14">
        <f t="shared" si="1"/>
        <v>4609313</v>
      </c>
      <c r="O40" s="15">
        <f>'[14]Лист1'!M99</f>
        <v>4609313</v>
      </c>
      <c r="P40" s="15">
        <f t="shared" si="3"/>
        <v>0</v>
      </c>
    </row>
    <row r="41" spans="1:16" ht="42.75">
      <c r="A41" s="10">
        <v>90405</v>
      </c>
      <c r="B41" s="12" t="s">
        <v>62</v>
      </c>
      <c r="C41" s="14">
        <f>8500000+1880000-300000</f>
        <v>10080000</v>
      </c>
      <c r="D41" s="14"/>
      <c r="E41" s="14"/>
      <c r="F41" s="14">
        <f t="shared" si="4"/>
        <v>0</v>
      </c>
      <c r="G41" s="14"/>
      <c r="H41" s="14"/>
      <c r="I41" s="14"/>
      <c r="J41" s="14"/>
      <c r="K41" s="14"/>
      <c r="L41" s="14"/>
      <c r="M41" s="14">
        <f aca="true" t="shared" si="6" ref="M41:M74">C41+F41</f>
        <v>10080000</v>
      </c>
      <c r="O41" s="15">
        <f>'[14]Лист1'!M100</f>
        <v>10080000</v>
      </c>
      <c r="P41" s="15">
        <f t="shared" si="3"/>
        <v>0</v>
      </c>
    </row>
    <row r="42" spans="1:16" ht="71.25">
      <c r="A42" s="10">
        <v>90406</v>
      </c>
      <c r="B42" s="12" t="s">
        <v>63</v>
      </c>
      <c r="C42" s="14">
        <f>15500-517.69</f>
        <v>14982.31</v>
      </c>
      <c r="D42" s="14"/>
      <c r="E42" s="14"/>
      <c r="F42" s="14">
        <f t="shared" si="4"/>
        <v>0</v>
      </c>
      <c r="G42" s="14"/>
      <c r="H42" s="14"/>
      <c r="I42" s="14"/>
      <c r="J42" s="14"/>
      <c r="K42" s="14"/>
      <c r="L42" s="14"/>
      <c r="M42" s="14">
        <f t="shared" si="6"/>
        <v>14982.31</v>
      </c>
      <c r="O42" s="15">
        <f>'[14]Лист1'!M101</f>
        <v>14982.31</v>
      </c>
      <c r="P42" s="15">
        <f t="shared" si="3"/>
        <v>0</v>
      </c>
    </row>
    <row r="43" spans="1:16" ht="85.5">
      <c r="A43" s="10">
        <v>90407</v>
      </c>
      <c r="B43" s="45" t="s">
        <v>133</v>
      </c>
      <c r="C43" s="14">
        <f>0+600000</f>
        <v>600000</v>
      </c>
      <c r="D43" s="14"/>
      <c r="E43" s="14"/>
      <c r="F43" s="14">
        <f t="shared" si="4"/>
        <v>0</v>
      </c>
      <c r="G43" s="14"/>
      <c r="H43" s="14"/>
      <c r="I43" s="14"/>
      <c r="J43" s="14"/>
      <c r="K43" s="14"/>
      <c r="L43" s="14"/>
      <c r="M43" s="14">
        <f t="shared" si="6"/>
        <v>600000</v>
      </c>
      <c r="O43" s="15">
        <f>'[14]Лист1'!M102</f>
        <v>600000</v>
      </c>
      <c r="P43" s="15">
        <f t="shared" si="3"/>
        <v>0</v>
      </c>
    </row>
    <row r="44" spans="1:16" ht="28.5">
      <c r="A44" s="10">
        <v>90412</v>
      </c>
      <c r="B44" s="12" t="s">
        <v>23</v>
      </c>
      <c r="C44" s="14">
        <f>239700-14586.28+38000</f>
        <v>263113.72</v>
      </c>
      <c r="D44" s="14"/>
      <c r="E44" s="14"/>
      <c r="F44" s="14">
        <f t="shared" si="4"/>
        <v>0</v>
      </c>
      <c r="G44" s="14"/>
      <c r="H44" s="14"/>
      <c r="I44" s="14"/>
      <c r="J44" s="14">
        <f>140000-140000</f>
        <v>0</v>
      </c>
      <c r="K44" s="14">
        <f>140000-140000</f>
        <v>0</v>
      </c>
      <c r="L44" s="14"/>
      <c r="M44" s="14">
        <f t="shared" si="6"/>
        <v>263113.72</v>
      </c>
      <c r="O44" s="15">
        <f>'[14]Лист1'!M103</f>
        <v>263113.72</v>
      </c>
      <c r="P44" s="15">
        <f t="shared" si="3"/>
        <v>0</v>
      </c>
    </row>
    <row r="45" spans="1:16" ht="42.75">
      <c r="A45" s="10">
        <v>90413</v>
      </c>
      <c r="B45" s="12" t="s">
        <v>55</v>
      </c>
      <c r="C45" s="14">
        <f>1482994-28125-54700</f>
        <v>1400169</v>
      </c>
      <c r="D45" s="14"/>
      <c r="E45" s="14"/>
      <c r="F45" s="14">
        <f t="shared" si="4"/>
        <v>0</v>
      </c>
      <c r="G45" s="14"/>
      <c r="H45" s="14"/>
      <c r="I45" s="14"/>
      <c r="J45" s="14"/>
      <c r="K45" s="14"/>
      <c r="L45" s="14"/>
      <c r="M45" s="14">
        <f t="shared" si="6"/>
        <v>1400169</v>
      </c>
      <c r="O45" s="15">
        <f>'[14]Лист1'!M104</f>
        <v>1400169</v>
      </c>
      <c r="P45" s="15">
        <f t="shared" si="3"/>
        <v>0</v>
      </c>
    </row>
    <row r="46" spans="1:16" ht="73.5" customHeight="1">
      <c r="A46" s="10">
        <v>90414</v>
      </c>
      <c r="B46" s="12" t="s">
        <v>87</v>
      </c>
      <c r="C46" s="14">
        <f>3000</f>
        <v>3000</v>
      </c>
      <c r="D46" s="14"/>
      <c r="E46" s="14"/>
      <c r="F46" s="14">
        <f t="shared" si="4"/>
        <v>0</v>
      </c>
      <c r="G46" s="14"/>
      <c r="H46" s="14"/>
      <c r="I46" s="14"/>
      <c r="J46" s="14"/>
      <c r="K46" s="14"/>
      <c r="L46" s="14"/>
      <c r="M46" s="14">
        <f t="shared" si="6"/>
        <v>3000</v>
      </c>
      <c r="O46" s="15">
        <f>'[14]Лист1'!M105</f>
        <v>3000</v>
      </c>
      <c r="P46" s="15">
        <f t="shared" si="3"/>
        <v>0</v>
      </c>
    </row>
    <row r="47" spans="1:16" ht="28.5">
      <c r="A47" s="10">
        <v>90417</v>
      </c>
      <c r="B47" s="12" t="s">
        <v>83</v>
      </c>
      <c r="C47" s="14">
        <f>42517</f>
        <v>42517</v>
      </c>
      <c r="D47" s="14"/>
      <c r="E47" s="14"/>
      <c r="F47" s="14">
        <f t="shared" si="4"/>
        <v>0</v>
      </c>
      <c r="G47" s="14"/>
      <c r="H47" s="14"/>
      <c r="I47" s="14"/>
      <c r="J47" s="14"/>
      <c r="K47" s="14"/>
      <c r="L47" s="14"/>
      <c r="M47" s="14">
        <f t="shared" si="6"/>
        <v>42517</v>
      </c>
      <c r="O47" s="15">
        <f>'[14]Лист1'!M106</f>
        <v>42517</v>
      </c>
      <c r="P47" s="15">
        <f t="shared" si="3"/>
        <v>0</v>
      </c>
    </row>
    <row r="48" spans="1:16" ht="28.5">
      <c r="A48" s="10">
        <v>90802</v>
      </c>
      <c r="B48" s="12" t="s">
        <v>89</v>
      </c>
      <c r="C48" s="14">
        <f>5000</f>
        <v>5000</v>
      </c>
      <c r="D48" s="14"/>
      <c r="E48" s="14"/>
      <c r="F48" s="14">
        <f t="shared" si="4"/>
        <v>0</v>
      </c>
      <c r="G48" s="14"/>
      <c r="H48" s="14"/>
      <c r="I48" s="14"/>
      <c r="J48" s="14"/>
      <c r="K48" s="14"/>
      <c r="L48" s="14"/>
      <c r="M48" s="14">
        <f t="shared" si="6"/>
        <v>5000</v>
      </c>
      <c r="O48" s="15">
        <f>'[14]Лист1'!M18</f>
        <v>5000</v>
      </c>
      <c r="P48" s="15">
        <f t="shared" si="3"/>
        <v>0</v>
      </c>
    </row>
    <row r="49" spans="1:16" ht="28.5">
      <c r="A49" s="10">
        <v>91101</v>
      </c>
      <c r="B49" s="12" t="s">
        <v>24</v>
      </c>
      <c r="C49" s="14">
        <f>228100+185885-14582.05+36804-6600-67015-13.31+47000+4480-367+29700+2400+13000</f>
        <v>458791.64</v>
      </c>
      <c r="D49" s="14">
        <f>158073+119075+27002+100-4850-10525-2091-5064+35000-20000-1427+10900+2400+13000</f>
        <v>321593</v>
      </c>
      <c r="E49" s="14">
        <f>6946+7397-5665+2091+3500+120</f>
        <v>14389</v>
      </c>
      <c r="F49" s="14">
        <f t="shared" si="4"/>
        <v>0</v>
      </c>
      <c r="G49" s="14"/>
      <c r="H49" s="14"/>
      <c r="I49" s="14"/>
      <c r="J49" s="14"/>
      <c r="K49" s="14"/>
      <c r="L49" s="14"/>
      <c r="M49" s="14">
        <f t="shared" si="6"/>
        <v>458791.64</v>
      </c>
      <c r="O49" s="15">
        <f>'[14]Лист1'!M19</f>
        <v>458791.64</v>
      </c>
      <c r="P49" s="15">
        <f t="shared" si="3"/>
        <v>0</v>
      </c>
    </row>
    <row r="50" spans="1:16" ht="28.5">
      <c r="A50" s="10">
        <v>91103</v>
      </c>
      <c r="B50" s="12" t="s">
        <v>25</v>
      </c>
      <c r="C50" s="14">
        <f>86100-10406-4790-8900-10000-30000</f>
        <v>22004</v>
      </c>
      <c r="D50" s="14"/>
      <c r="E50" s="14"/>
      <c r="F50" s="14">
        <f t="shared" si="4"/>
        <v>0</v>
      </c>
      <c r="G50" s="14"/>
      <c r="H50" s="14"/>
      <c r="I50" s="14"/>
      <c r="J50" s="14"/>
      <c r="K50" s="14"/>
      <c r="L50" s="14"/>
      <c r="M50" s="14">
        <f t="shared" si="6"/>
        <v>22004</v>
      </c>
      <c r="O50" s="15">
        <f>'[14]Лист1'!$M$20+'[14]Лист1'!$M$107</f>
        <v>22004</v>
      </c>
      <c r="P50" s="15">
        <f t="shared" si="3"/>
        <v>0</v>
      </c>
    </row>
    <row r="51" spans="1:16" ht="15">
      <c r="A51" s="10">
        <v>91106</v>
      </c>
      <c r="B51" s="12" t="s">
        <v>26</v>
      </c>
      <c r="C51" s="14">
        <f>116008+121852-1314.3+37257+39181-9000+33400-788-15331-13000</f>
        <v>308264.7</v>
      </c>
      <c r="D51" s="14">
        <f>84939+70889+27335+28746+200-3200-3375+26800-2000-7000</f>
        <v>223334</v>
      </c>
      <c r="E51" s="14">
        <f>18070-2083-7728</f>
        <v>8259</v>
      </c>
      <c r="F51" s="14">
        <f t="shared" si="4"/>
        <v>18000</v>
      </c>
      <c r="G51" s="14">
        <f>13600</f>
        <v>13600</v>
      </c>
      <c r="H51" s="14">
        <f>5940</f>
        <v>5940</v>
      </c>
      <c r="I51" s="14"/>
      <c r="J51" s="14">
        <f>4400</f>
        <v>4400</v>
      </c>
      <c r="K51" s="14"/>
      <c r="L51" s="14"/>
      <c r="M51" s="14">
        <f t="shared" si="6"/>
        <v>326264.7</v>
      </c>
      <c r="O51" s="15">
        <f>'[14]Лист1'!$M$21</f>
        <v>326264.7</v>
      </c>
      <c r="P51" s="15">
        <f t="shared" si="3"/>
        <v>0</v>
      </c>
    </row>
    <row r="52" spans="1:16" ht="81.75" customHeight="1">
      <c r="A52" s="10">
        <v>91108</v>
      </c>
      <c r="B52" s="16" t="s">
        <v>50</v>
      </c>
      <c r="C52" s="14">
        <f>190000-10000-30000-6400</f>
        <v>143600</v>
      </c>
      <c r="D52" s="14"/>
      <c r="E52" s="14"/>
      <c r="F52" s="14">
        <f t="shared" si="4"/>
        <v>0</v>
      </c>
      <c r="G52" s="14"/>
      <c r="H52" s="14"/>
      <c r="I52" s="14"/>
      <c r="J52" s="14"/>
      <c r="K52" s="14"/>
      <c r="L52" s="14"/>
      <c r="M52" s="14">
        <f t="shared" si="6"/>
        <v>143600</v>
      </c>
      <c r="O52" s="15">
        <f>'[14]Лист1'!$M$72</f>
        <v>143600</v>
      </c>
      <c r="P52" s="15">
        <f t="shared" si="3"/>
        <v>0</v>
      </c>
    </row>
    <row r="53" spans="1:16" ht="42.75">
      <c r="A53" s="10">
        <v>91204</v>
      </c>
      <c r="B53" s="12" t="s">
        <v>90</v>
      </c>
      <c r="C53" s="25">
        <f>1863635-119185-3896</f>
        <v>1740554</v>
      </c>
      <c r="D53" s="25">
        <f>1279700-50760</f>
        <v>1228940</v>
      </c>
      <c r="E53" s="25">
        <f>20281</f>
        <v>20281</v>
      </c>
      <c r="F53" s="25">
        <f t="shared" si="4"/>
        <v>55968</v>
      </c>
      <c r="G53" s="25">
        <f>32000</f>
        <v>32000</v>
      </c>
      <c r="H53" s="25">
        <f>9000</f>
        <v>9000</v>
      </c>
      <c r="I53" s="25"/>
      <c r="J53" s="33">
        <f>258070+32400-23000-243502</f>
        <v>23968</v>
      </c>
      <c r="K53" s="33">
        <f>258070+32400-23000-243502</f>
        <v>23968</v>
      </c>
      <c r="L53" s="25"/>
      <c r="M53" s="14">
        <f t="shared" si="6"/>
        <v>1796522</v>
      </c>
      <c r="O53" s="15">
        <f>'[14]Лист1'!M108</f>
        <v>1796522</v>
      </c>
      <c r="P53" s="15">
        <f t="shared" si="3"/>
        <v>0</v>
      </c>
    </row>
    <row r="54" spans="1:16" ht="99.75">
      <c r="A54" s="10">
        <v>91205</v>
      </c>
      <c r="B54" s="12" t="s">
        <v>88</v>
      </c>
      <c r="C54" s="25">
        <f>53756-5232.08</f>
        <v>48523.92</v>
      </c>
      <c r="D54" s="25"/>
      <c r="E54" s="25"/>
      <c r="F54" s="14">
        <f t="shared" si="4"/>
        <v>0</v>
      </c>
      <c r="G54" s="14"/>
      <c r="H54" s="14"/>
      <c r="I54" s="14"/>
      <c r="J54" s="33"/>
      <c r="K54" s="33"/>
      <c r="L54" s="14"/>
      <c r="M54" s="14">
        <f t="shared" si="6"/>
        <v>48523.92</v>
      </c>
      <c r="O54" s="15">
        <f>'[14]Лист1'!M109</f>
        <v>48523.92</v>
      </c>
      <c r="P54" s="15">
        <f t="shared" si="3"/>
        <v>0</v>
      </c>
    </row>
    <row r="55" spans="1:16" ht="28.5">
      <c r="A55" s="10">
        <v>91206</v>
      </c>
      <c r="B55" s="12" t="s">
        <v>84</v>
      </c>
      <c r="C55" s="25">
        <f>647295-1200-1496</f>
        <v>644599</v>
      </c>
      <c r="D55" s="25">
        <f>392568</f>
        <v>392568</v>
      </c>
      <c r="E55" s="25">
        <f>29949</f>
        <v>29949</v>
      </c>
      <c r="F55" s="14">
        <f t="shared" si="4"/>
        <v>0</v>
      </c>
      <c r="G55" s="14"/>
      <c r="H55" s="14"/>
      <c r="I55" s="14"/>
      <c r="J55" s="14"/>
      <c r="K55" s="14"/>
      <c r="L55" s="14"/>
      <c r="M55" s="14">
        <f t="shared" si="6"/>
        <v>644599</v>
      </c>
      <c r="O55" s="15">
        <f>'[14]Лист1'!M110</f>
        <v>644599</v>
      </c>
      <c r="P55" s="15">
        <f t="shared" si="3"/>
        <v>0</v>
      </c>
    </row>
    <row r="56" spans="1:16" ht="42.75">
      <c r="A56" s="10">
        <v>91300</v>
      </c>
      <c r="B56" s="12" t="s">
        <v>67</v>
      </c>
      <c r="C56" s="25">
        <f>5717407-60000</f>
        <v>5657407</v>
      </c>
      <c r="D56" s="14"/>
      <c r="E56" s="14"/>
      <c r="F56" s="14">
        <f t="shared" si="4"/>
        <v>0</v>
      </c>
      <c r="G56" s="14"/>
      <c r="H56" s="14"/>
      <c r="I56" s="14"/>
      <c r="J56" s="14"/>
      <c r="K56" s="14"/>
      <c r="L56" s="14"/>
      <c r="M56" s="14">
        <f t="shared" si="6"/>
        <v>5657407</v>
      </c>
      <c r="O56" s="15">
        <f>'[14]Лист1'!M111</f>
        <v>5657407</v>
      </c>
      <c r="P56" s="15">
        <f t="shared" si="3"/>
        <v>0</v>
      </c>
    </row>
    <row r="57" spans="1:16" ht="59.25" customHeight="1">
      <c r="A57" s="10">
        <v>91303</v>
      </c>
      <c r="B57" s="12" t="s">
        <v>68</v>
      </c>
      <c r="C57" s="14">
        <f>21447</f>
        <v>21447</v>
      </c>
      <c r="D57" s="14"/>
      <c r="E57" s="14"/>
      <c r="F57" s="14">
        <f t="shared" si="4"/>
        <v>0</v>
      </c>
      <c r="G57" s="14"/>
      <c r="H57" s="14"/>
      <c r="I57" s="14"/>
      <c r="J57" s="14"/>
      <c r="K57" s="14"/>
      <c r="L57" s="14"/>
      <c r="M57" s="14">
        <f t="shared" si="6"/>
        <v>21447</v>
      </c>
      <c r="O57" s="15">
        <f>'[14]Лист1'!M112</f>
        <v>21447</v>
      </c>
      <c r="P57" s="15">
        <f t="shared" si="3"/>
        <v>0</v>
      </c>
    </row>
    <row r="58" spans="1:16" ht="28.5">
      <c r="A58" s="10">
        <v>91304</v>
      </c>
      <c r="B58" s="12" t="s">
        <v>69</v>
      </c>
      <c r="C58" s="14">
        <f>3612</f>
        <v>3612</v>
      </c>
      <c r="D58" s="14"/>
      <c r="E58" s="14"/>
      <c r="F58" s="14">
        <f t="shared" si="4"/>
        <v>0</v>
      </c>
      <c r="G58" s="14"/>
      <c r="H58" s="14"/>
      <c r="I58" s="14"/>
      <c r="J58" s="14"/>
      <c r="K58" s="14"/>
      <c r="L58" s="14"/>
      <c r="M58" s="14">
        <f t="shared" si="6"/>
        <v>3612</v>
      </c>
      <c r="O58" s="15">
        <f>'[14]Лист1'!M113</f>
        <v>3612</v>
      </c>
      <c r="P58" s="15">
        <f t="shared" si="3"/>
        <v>0</v>
      </c>
    </row>
    <row r="59" spans="1:15" ht="30">
      <c r="A59" s="8">
        <v>100000</v>
      </c>
      <c r="B59" s="18" t="s">
        <v>27</v>
      </c>
      <c r="C59" s="13">
        <f aca="true" t="shared" si="7" ref="C59:L59">SUM(C60:C63)</f>
        <v>4446200</v>
      </c>
      <c r="D59" s="13">
        <f t="shared" si="7"/>
        <v>0</v>
      </c>
      <c r="E59" s="13">
        <f t="shared" si="7"/>
        <v>0</v>
      </c>
      <c r="F59" s="13">
        <f t="shared" si="7"/>
        <v>21050735.77</v>
      </c>
      <c r="G59" s="13">
        <f t="shared" si="7"/>
        <v>17334505.7</v>
      </c>
      <c r="H59" s="13">
        <f t="shared" si="7"/>
        <v>0</v>
      </c>
      <c r="I59" s="13">
        <f t="shared" si="7"/>
        <v>0</v>
      </c>
      <c r="J59" s="13">
        <f t="shared" si="7"/>
        <v>3716230.07</v>
      </c>
      <c r="K59" s="13">
        <f t="shared" si="7"/>
        <v>3716230.07</v>
      </c>
      <c r="L59" s="13">
        <f t="shared" si="7"/>
        <v>0</v>
      </c>
      <c r="M59" s="13">
        <f t="shared" si="6"/>
        <v>25496935.77</v>
      </c>
      <c r="O59" s="15"/>
    </row>
    <row r="60" spans="1:16" ht="28.5">
      <c r="A60" s="36">
        <v>100102</v>
      </c>
      <c r="B60" s="38" t="s">
        <v>103</v>
      </c>
      <c r="C60" s="29"/>
      <c r="D60" s="13"/>
      <c r="E60" s="13"/>
      <c r="F60" s="25">
        <f>G60+J60</f>
        <v>193746</v>
      </c>
      <c r="G60" s="13"/>
      <c r="H60" s="13"/>
      <c r="I60" s="13"/>
      <c r="J60" s="44">
        <f>800000+34000+200000+97000+30000+61224-150000-200000-615400-33078-30000</f>
        <v>193746</v>
      </c>
      <c r="K60" s="44">
        <f>800000+34000+200000+97000+30000+61224-150000-200000-615400-33078-30000</f>
        <v>193746</v>
      </c>
      <c r="L60" s="13"/>
      <c r="M60" s="33">
        <f t="shared" si="6"/>
        <v>193746</v>
      </c>
      <c r="O60" s="15">
        <f>'[14]Лист1'!M25</f>
        <v>193746</v>
      </c>
      <c r="P60" s="15">
        <f t="shared" si="3"/>
        <v>0</v>
      </c>
    </row>
    <row r="61" spans="1:16" ht="28.5">
      <c r="A61" s="34">
        <v>100202</v>
      </c>
      <c r="B61" s="12" t="s">
        <v>97</v>
      </c>
      <c r="C61" s="29"/>
      <c r="D61" s="33"/>
      <c r="E61" s="33"/>
      <c r="F61" s="33">
        <f>G61+J61</f>
        <v>2899183.75</v>
      </c>
      <c r="G61" s="33"/>
      <c r="H61" s="33"/>
      <c r="I61" s="33"/>
      <c r="J61" s="33">
        <f>547968+75250+700000+9521+1541800+24644.75</f>
        <v>2899183.75</v>
      </c>
      <c r="K61" s="33">
        <f>547968+75250+700000+9521+1541800+24644.75</f>
        <v>2899183.75</v>
      </c>
      <c r="L61" s="33"/>
      <c r="M61" s="33">
        <f t="shared" si="6"/>
        <v>2899183.75</v>
      </c>
      <c r="O61" s="15">
        <f>'[14]Лист1'!M26</f>
        <v>2899183.75</v>
      </c>
      <c r="P61" s="15">
        <f t="shared" si="3"/>
        <v>0</v>
      </c>
    </row>
    <row r="62" spans="1:16" ht="15">
      <c r="A62" s="10">
        <v>100203</v>
      </c>
      <c r="B62" s="12" t="s">
        <v>28</v>
      </c>
      <c r="C62" s="14">
        <f>3700000+30000-30000-72000+818200</f>
        <v>4446200</v>
      </c>
      <c r="D62" s="14"/>
      <c r="E62" s="14"/>
      <c r="F62" s="14">
        <f t="shared" si="4"/>
        <v>623300.32</v>
      </c>
      <c r="G62" s="14"/>
      <c r="H62" s="14"/>
      <c r="I62" s="14"/>
      <c r="J62" s="14">
        <f>200000+371600+90400-38699.68</f>
        <v>623300.32</v>
      </c>
      <c r="K62" s="14">
        <f>200000+371600+90400-38699.68</f>
        <v>623300.32</v>
      </c>
      <c r="L62" s="14"/>
      <c r="M62" s="14">
        <f t="shared" si="6"/>
        <v>5069500.32</v>
      </c>
      <c r="O62" s="15">
        <f>'[14]Лист1'!M27</f>
        <v>5069500.32</v>
      </c>
      <c r="P62" s="15">
        <f t="shared" si="3"/>
        <v>0</v>
      </c>
    </row>
    <row r="63" spans="1:16" ht="95.25" customHeight="1">
      <c r="A63" s="10">
        <v>100602</v>
      </c>
      <c r="B63" s="12" t="s">
        <v>127</v>
      </c>
      <c r="C63" s="14"/>
      <c r="D63" s="14"/>
      <c r="E63" s="14"/>
      <c r="F63" s="14">
        <f t="shared" si="4"/>
        <v>17334505.7</v>
      </c>
      <c r="G63" s="14">
        <f>1936000+1018605.15+135624.85+318279.44+96845.26+13829151</f>
        <v>17334505.7</v>
      </c>
      <c r="H63" s="14"/>
      <c r="I63" s="14"/>
      <c r="J63" s="14"/>
      <c r="K63" s="14"/>
      <c r="L63" s="14"/>
      <c r="M63" s="14">
        <f t="shared" si="6"/>
        <v>17334505.7</v>
      </c>
      <c r="O63" s="15">
        <f>'[14]Лист1'!M132</f>
        <v>17334505.7</v>
      </c>
      <c r="P63" s="15">
        <f t="shared" si="3"/>
        <v>0</v>
      </c>
    </row>
    <row r="64" spans="1:13" ht="15">
      <c r="A64" s="8">
        <v>110000</v>
      </c>
      <c r="B64" s="18" t="s">
        <v>29</v>
      </c>
      <c r="C64" s="13">
        <f>SUM(C65:C69)</f>
        <v>4193380.74</v>
      </c>
      <c r="D64" s="13">
        <f>SUM(D65:D69)</f>
        <v>2968356</v>
      </c>
      <c r="E64" s="13">
        <f>SUM(E65:E69)</f>
        <v>130141</v>
      </c>
      <c r="F64" s="13">
        <f>G64+J64</f>
        <v>1161191.8399999999</v>
      </c>
      <c r="G64" s="13">
        <f aca="true" t="shared" si="8" ref="G64:L64">SUM(G65:G69)</f>
        <v>312650</v>
      </c>
      <c r="H64" s="13">
        <f t="shared" si="8"/>
        <v>142616</v>
      </c>
      <c r="I64" s="13">
        <f t="shared" si="8"/>
        <v>8010</v>
      </c>
      <c r="J64" s="13">
        <f t="shared" si="8"/>
        <v>848541.84</v>
      </c>
      <c r="K64" s="13">
        <f t="shared" si="8"/>
        <v>828541.84</v>
      </c>
      <c r="L64" s="13">
        <f t="shared" si="8"/>
        <v>0</v>
      </c>
      <c r="M64" s="13">
        <f t="shared" si="6"/>
        <v>5354572.58</v>
      </c>
    </row>
    <row r="65" spans="1:16" ht="15">
      <c r="A65" s="10">
        <v>110201</v>
      </c>
      <c r="B65" s="12" t="s">
        <v>30</v>
      </c>
      <c r="C65" s="14">
        <f>287361-10900-407+17839+9100+3710</f>
        <v>306703</v>
      </c>
      <c r="D65" s="14">
        <f>180960-8000+9100</f>
        <v>182060</v>
      </c>
      <c r="E65" s="14">
        <f>24513</f>
        <v>24513</v>
      </c>
      <c r="F65" s="33">
        <f>G65+J65</f>
        <v>15000</v>
      </c>
      <c r="G65" s="14"/>
      <c r="H65" s="14"/>
      <c r="I65" s="14"/>
      <c r="J65" s="33">
        <f>115000-100000</f>
        <v>15000</v>
      </c>
      <c r="K65" s="33">
        <f>115000-100000</f>
        <v>15000</v>
      </c>
      <c r="L65" s="14"/>
      <c r="M65" s="14">
        <f t="shared" si="6"/>
        <v>321703</v>
      </c>
      <c r="O65" s="15">
        <f>'[14]Лист1'!M122</f>
        <v>321703</v>
      </c>
      <c r="P65" s="15">
        <f t="shared" si="3"/>
        <v>0</v>
      </c>
    </row>
    <row r="66" spans="1:16" ht="15">
      <c r="A66" s="10">
        <v>110202</v>
      </c>
      <c r="B66" s="12" t="s">
        <v>31</v>
      </c>
      <c r="C66" s="14">
        <f>257504-39000-438-2500-1140</f>
        <v>214426</v>
      </c>
      <c r="D66" s="14">
        <f>187461-21000-2500</f>
        <v>163961</v>
      </c>
      <c r="E66" s="14">
        <f>3750</f>
        <v>3750</v>
      </c>
      <c r="F66" s="33">
        <f>G66+J66</f>
        <v>74541.84</v>
      </c>
      <c r="G66" s="14">
        <f>11000</f>
        <v>11000</v>
      </c>
      <c r="H66" s="14"/>
      <c r="I66" s="14"/>
      <c r="J66" s="14">
        <f>4000+197000-9000-128458.16</f>
        <v>63541.84</v>
      </c>
      <c r="K66" s="14">
        <f>197000-9000-128458.16</f>
        <v>59541.84</v>
      </c>
      <c r="L66" s="14"/>
      <c r="M66" s="14">
        <f t="shared" si="6"/>
        <v>288967.83999999997</v>
      </c>
      <c r="O66" s="15">
        <f>'[14]Лист1'!M123</f>
        <v>288967.83999999997</v>
      </c>
      <c r="P66" s="15">
        <f t="shared" si="3"/>
        <v>0</v>
      </c>
    </row>
    <row r="67" spans="1:16" ht="28.5">
      <c r="A67" s="10">
        <v>110204</v>
      </c>
      <c r="B67" s="12" t="s">
        <v>32</v>
      </c>
      <c r="C67" s="14">
        <f>364863-10900+50000-1202-37800-10070</f>
        <v>354891</v>
      </c>
      <c r="D67" s="14">
        <f>262241-8000+38000-37800</f>
        <v>254441</v>
      </c>
      <c r="E67" s="14">
        <f>7427</f>
        <v>7427</v>
      </c>
      <c r="F67" s="33">
        <f>G67+J67</f>
        <v>64650</v>
      </c>
      <c r="G67" s="14">
        <f>53650</f>
        <v>53650</v>
      </c>
      <c r="H67" s="14">
        <f>6933</f>
        <v>6933</v>
      </c>
      <c r="I67" s="14">
        <f>5300</f>
        <v>5300</v>
      </c>
      <c r="J67" s="14">
        <f>11000</f>
        <v>11000</v>
      </c>
      <c r="K67" s="33"/>
      <c r="L67" s="14"/>
      <c r="M67" s="14">
        <f t="shared" si="6"/>
        <v>419541</v>
      </c>
      <c r="O67" s="15">
        <f>'[14]Лист1'!M124</f>
        <v>419541</v>
      </c>
      <c r="P67" s="15">
        <f t="shared" si="3"/>
        <v>0</v>
      </c>
    </row>
    <row r="68" spans="1:16" ht="28.5">
      <c r="A68" s="10">
        <v>110205</v>
      </c>
      <c r="B68" s="12" t="s">
        <v>33</v>
      </c>
      <c r="C68" s="14">
        <f>2199496-4770+409000-23438+16700</f>
        <v>2596988</v>
      </c>
      <c r="D68" s="14">
        <f>1553643-3500+300100+16700</f>
        <v>1866943</v>
      </c>
      <c r="E68" s="14">
        <f>94451</f>
        <v>94451</v>
      </c>
      <c r="F68" s="33">
        <f>G68+J68</f>
        <v>243000</v>
      </c>
      <c r="G68" s="14">
        <f>243000</f>
        <v>243000</v>
      </c>
      <c r="H68" s="14">
        <f>135683</f>
        <v>135683</v>
      </c>
      <c r="I68" s="14">
        <f>2710</f>
        <v>2710</v>
      </c>
      <c r="J68" s="14"/>
      <c r="K68" s="33"/>
      <c r="L68" s="14"/>
      <c r="M68" s="14">
        <f t="shared" si="6"/>
        <v>2839988</v>
      </c>
      <c r="O68" s="15">
        <f>'[14]Лист1'!M125</f>
        <v>2839988</v>
      </c>
      <c r="P68" s="15">
        <f t="shared" si="3"/>
        <v>0</v>
      </c>
    </row>
    <row r="69" spans="1:16" ht="28.5">
      <c r="A69" s="10">
        <v>110502</v>
      </c>
      <c r="B69" s="12" t="s">
        <v>34</v>
      </c>
      <c r="C69" s="14">
        <f>531845+159632-249.26+50000-25000-4770-22560-288+11000-1237+14300+7700</f>
        <v>720372.74</v>
      </c>
      <c r="D69" s="14">
        <f>390200+115651+200-15900-3500+14300</f>
        <v>500951</v>
      </c>
      <c r="E69" s="14"/>
      <c r="F69" s="14">
        <f t="shared" si="4"/>
        <v>764000</v>
      </c>
      <c r="G69" s="14">
        <f>5000</f>
        <v>5000</v>
      </c>
      <c r="H69" s="14"/>
      <c r="I69" s="14"/>
      <c r="J69" s="14">
        <f>5000+29000+100000+750000-25000-100000</f>
        <v>759000</v>
      </c>
      <c r="K69" s="14">
        <f>29000+100000+750000-25000-100000</f>
        <v>754000</v>
      </c>
      <c r="L69" s="14"/>
      <c r="M69" s="14">
        <f t="shared" si="6"/>
        <v>1484372.74</v>
      </c>
      <c r="O69" s="15">
        <f>'[14]Лист1'!M126</f>
        <v>698660.74</v>
      </c>
      <c r="P69" s="15">
        <f t="shared" si="3"/>
        <v>-785712</v>
      </c>
    </row>
    <row r="70" spans="1:15" ht="15">
      <c r="A70" s="8">
        <v>120000</v>
      </c>
      <c r="B70" s="18" t="s">
        <v>35</v>
      </c>
      <c r="C70" s="13">
        <f>SUM(C71:C72)</f>
        <v>200000</v>
      </c>
      <c r="D70" s="13">
        <f>SUM(D71:D72)</f>
        <v>0</v>
      </c>
      <c r="E70" s="13">
        <f>SUM(E71:E72)</f>
        <v>0</v>
      </c>
      <c r="F70" s="13">
        <f>G70+J70</f>
        <v>6000</v>
      </c>
      <c r="G70" s="13"/>
      <c r="H70" s="13"/>
      <c r="I70" s="13"/>
      <c r="J70" s="13">
        <f>SUM(J71:J72)</f>
        <v>6000</v>
      </c>
      <c r="K70" s="13">
        <f>SUM(K71:K72)</f>
        <v>6000</v>
      </c>
      <c r="L70" s="13">
        <f>SUM(L71:L72)</f>
        <v>0</v>
      </c>
      <c r="M70" s="13">
        <f t="shared" si="6"/>
        <v>206000</v>
      </c>
      <c r="O70" s="15"/>
    </row>
    <row r="71" spans="1:16" ht="15">
      <c r="A71" s="10">
        <v>120100</v>
      </c>
      <c r="B71" s="12" t="s">
        <v>36</v>
      </c>
      <c r="C71" s="14">
        <f>70000</f>
        <v>70000</v>
      </c>
      <c r="D71" s="14"/>
      <c r="E71" s="14"/>
      <c r="F71" s="14">
        <f t="shared" si="4"/>
        <v>0</v>
      </c>
      <c r="G71" s="14"/>
      <c r="H71" s="14"/>
      <c r="I71" s="14"/>
      <c r="J71" s="14"/>
      <c r="K71" s="14"/>
      <c r="L71" s="14"/>
      <c r="M71" s="14">
        <f t="shared" si="6"/>
        <v>70000</v>
      </c>
      <c r="O71" s="15">
        <f>'[14]Лист1'!M36</f>
        <v>70000</v>
      </c>
      <c r="P71" s="15">
        <f t="shared" si="3"/>
        <v>0</v>
      </c>
    </row>
    <row r="72" spans="1:16" ht="28.5">
      <c r="A72" s="10">
        <v>120201</v>
      </c>
      <c r="B72" s="12" t="s">
        <v>37</v>
      </c>
      <c r="C72" s="14">
        <f>130000</f>
        <v>130000</v>
      </c>
      <c r="D72" s="14"/>
      <c r="E72" s="14"/>
      <c r="F72" s="14">
        <f t="shared" si="4"/>
        <v>6000</v>
      </c>
      <c r="G72" s="14"/>
      <c r="H72" s="14"/>
      <c r="I72" s="14"/>
      <c r="J72" s="14">
        <f>6000</f>
        <v>6000</v>
      </c>
      <c r="K72" s="14">
        <f>6000</f>
        <v>6000</v>
      </c>
      <c r="L72" s="14"/>
      <c r="M72" s="14">
        <f t="shared" si="6"/>
        <v>136000</v>
      </c>
      <c r="O72" s="15">
        <f>'[14]Лист1'!M37</f>
        <v>136000</v>
      </c>
      <c r="P72" s="15">
        <f t="shared" si="3"/>
        <v>0</v>
      </c>
    </row>
    <row r="73" spans="1:13" ht="15">
      <c r="A73" s="8">
        <v>130000</v>
      </c>
      <c r="B73" s="18" t="s">
        <v>38</v>
      </c>
      <c r="C73" s="13">
        <f>SUM(C74:C75)</f>
        <v>1365561</v>
      </c>
      <c r="D73" s="13">
        <f>SUM(D74:D75)</f>
        <v>673670</v>
      </c>
      <c r="E73" s="13">
        <f>SUM(E74:E75)</f>
        <v>95551</v>
      </c>
      <c r="F73" s="13">
        <f>G73+J73</f>
        <v>344394</v>
      </c>
      <c r="G73" s="13">
        <f aca="true" t="shared" si="9" ref="G73:L73">SUM(G74:G75)</f>
        <v>0</v>
      </c>
      <c r="H73" s="13">
        <f t="shared" si="9"/>
        <v>0</v>
      </c>
      <c r="I73" s="13">
        <f t="shared" si="9"/>
        <v>0</v>
      </c>
      <c r="J73" s="13">
        <f t="shared" si="9"/>
        <v>344394</v>
      </c>
      <c r="K73" s="13">
        <f t="shared" si="9"/>
        <v>344394</v>
      </c>
      <c r="L73" s="13">
        <f t="shared" si="9"/>
        <v>0</v>
      </c>
      <c r="M73" s="13">
        <f t="shared" si="6"/>
        <v>1709955</v>
      </c>
    </row>
    <row r="74" spans="1:16" ht="28.5">
      <c r="A74" s="10">
        <v>130102</v>
      </c>
      <c r="B74" s="12" t="s">
        <v>39</v>
      </c>
      <c r="C74" s="14">
        <f>100000-40000+60000+40000</f>
        <v>160000</v>
      </c>
      <c r="D74" s="14"/>
      <c r="E74" s="14"/>
      <c r="F74" s="14">
        <f t="shared" si="4"/>
        <v>0</v>
      </c>
      <c r="G74" s="14"/>
      <c r="H74" s="14"/>
      <c r="I74" s="14"/>
      <c r="J74" s="14"/>
      <c r="K74" s="14"/>
      <c r="L74" s="14"/>
      <c r="M74" s="14">
        <f t="shared" si="6"/>
        <v>160000</v>
      </c>
      <c r="O74" s="15">
        <f>'[14]Лист1'!M40</f>
        <v>160000</v>
      </c>
      <c r="P74" s="15">
        <f t="shared" si="3"/>
        <v>0</v>
      </c>
    </row>
    <row r="75" spans="1:16" ht="42.75">
      <c r="A75" s="10">
        <v>130107</v>
      </c>
      <c r="B75" s="12" t="s">
        <v>85</v>
      </c>
      <c r="C75" s="25">
        <f>1235734-28700+60000+50000-2831-78870-29772</f>
        <v>1205561</v>
      </c>
      <c r="D75" s="25">
        <f>736680-21140+37000-78870</f>
        <v>673670</v>
      </c>
      <c r="E75" s="25">
        <f>82602+12949</f>
        <v>95551</v>
      </c>
      <c r="F75" s="14">
        <f t="shared" si="4"/>
        <v>344394</v>
      </c>
      <c r="G75" s="14"/>
      <c r="H75" s="14"/>
      <c r="I75" s="14"/>
      <c r="J75" s="33">
        <f>4000+39240+34896-39240-34896+60000+238734+41660</f>
        <v>344394</v>
      </c>
      <c r="K75" s="33">
        <f>4000+39240+34896-39240-34896+60000+238734+41660</f>
        <v>344394</v>
      </c>
      <c r="L75" s="14"/>
      <c r="M75" s="14">
        <f aca="true" t="shared" si="10" ref="M75:M100">C75+F75</f>
        <v>1549955</v>
      </c>
      <c r="O75" s="15">
        <f>'[14]Лист1'!M75</f>
        <v>1549955</v>
      </c>
      <c r="P75" s="15">
        <f t="shared" si="3"/>
        <v>0</v>
      </c>
    </row>
    <row r="76" spans="1:15" s="20" customFormat="1" ht="15">
      <c r="A76" s="26">
        <v>150000</v>
      </c>
      <c r="B76" s="27" t="s">
        <v>75</v>
      </c>
      <c r="C76" s="28">
        <f aca="true" t="shared" si="11" ref="C76:K76">SUM(C77:C78)</f>
        <v>0</v>
      </c>
      <c r="D76" s="28">
        <f t="shared" si="11"/>
        <v>0</v>
      </c>
      <c r="E76" s="28">
        <f t="shared" si="11"/>
        <v>0</v>
      </c>
      <c r="F76" s="28">
        <f t="shared" si="11"/>
        <v>2288121.03</v>
      </c>
      <c r="G76" s="28">
        <f t="shared" si="11"/>
        <v>0</v>
      </c>
      <c r="H76" s="28">
        <f t="shared" si="11"/>
        <v>0</v>
      </c>
      <c r="I76" s="28">
        <f t="shared" si="11"/>
        <v>0</v>
      </c>
      <c r="J76" s="28">
        <f t="shared" si="11"/>
        <v>2288121.03</v>
      </c>
      <c r="K76" s="28">
        <f t="shared" si="11"/>
        <v>1319069.03</v>
      </c>
      <c r="L76" s="28">
        <f>SUM(L77:L78)</f>
        <v>0</v>
      </c>
      <c r="M76" s="28">
        <f t="shared" si="10"/>
        <v>2288121.03</v>
      </c>
      <c r="N76" s="24"/>
      <c r="O76" s="32"/>
    </row>
    <row r="77" spans="1:16" s="24" customFormat="1" ht="15">
      <c r="A77" s="22">
        <v>150101</v>
      </c>
      <c r="B77" s="21" t="s">
        <v>76</v>
      </c>
      <c r="C77" s="23"/>
      <c r="D77" s="23"/>
      <c r="E77" s="23"/>
      <c r="F77" s="23">
        <f>G77+J77</f>
        <v>2201475.03</v>
      </c>
      <c r="G77" s="23"/>
      <c r="H77" s="23"/>
      <c r="I77" s="23"/>
      <c r="J77" s="23">
        <f>90400+234473+84979+510000+677204.8-84979-9521+500000-112804.8+400000+100000+650000-90400-750000-150000+969052-650000-166928.97</f>
        <v>2201475.03</v>
      </c>
      <c r="K77" s="23">
        <f>90400+234473+84979+510000+677204.8-84979-9521+500000-112804.8+400000+100000+650000-90400-750000-150000-650000-166928.97</f>
        <v>1232423.03</v>
      </c>
      <c r="L77" s="23"/>
      <c r="M77" s="23">
        <f t="shared" si="10"/>
        <v>2201475.03</v>
      </c>
      <c r="O77" s="32">
        <f>'[14]Лист1'!M42</f>
        <v>2201475.03</v>
      </c>
      <c r="P77" s="15">
        <f t="shared" si="3"/>
        <v>0</v>
      </c>
    </row>
    <row r="78" spans="1:16" s="24" customFormat="1" ht="28.5">
      <c r="A78" s="10">
        <v>150202</v>
      </c>
      <c r="B78" s="11" t="s">
        <v>100</v>
      </c>
      <c r="C78" s="14"/>
      <c r="D78" s="14"/>
      <c r="E78" s="14"/>
      <c r="F78" s="14">
        <f>G78+J78</f>
        <v>86646</v>
      </c>
      <c r="G78" s="14"/>
      <c r="H78" s="14"/>
      <c r="I78" s="14"/>
      <c r="J78" s="14">
        <f>25000+83000+85000-85000-21354</f>
        <v>86646</v>
      </c>
      <c r="K78" s="14">
        <f>25000+83000+85000-85000-21354</f>
        <v>86646</v>
      </c>
      <c r="L78" s="14"/>
      <c r="M78" s="14">
        <f t="shared" si="10"/>
        <v>86646</v>
      </c>
      <c r="O78" s="32">
        <f>'[14]Лист1'!M43</f>
        <v>86646</v>
      </c>
      <c r="P78" s="15">
        <f t="shared" si="3"/>
        <v>0</v>
      </c>
    </row>
    <row r="79" spans="1:13" ht="47.25" customHeight="1">
      <c r="A79" s="8">
        <v>170000</v>
      </c>
      <c r="B79" s="18" t="s">
        <v>40</v>
      </c>
      <c r="C79" s="13">
        <f>SUM(C80:C84)</f>
        <v>1692243.2</v>
      </c>
      <c r="D79" s="13">
        <f>SUM(D80:D84)</f>
        <v>0</v>
      </c>
      <c r="E79" s="13">
        <f>SUM(E80:E84)</f>
        <v>0</v>
      </c>
      <c r="F79" s="13">
        <f>G79+J79</f>
        <v>7532089.01</v>
      </c>
      <c r="G79" s="13">
        <f>SUM(G80:G85)</f>
        <v>2199690.12</v>
      </c>
      <c r="H79" s="13">
        <f>SUM(H80:H85)</f>
        <v>0</v>
      </c>
      <c r="I79" s="13">
        <f>SUM(I80:I85)</f>
        <v>0</v>
      </c>
      <c r="J79" s="13">
        <f>SUM(J80:J85)</f>
        <v>5332398.89</v>
      </c>
      <c r="K79" s="13">
        <f>SUM(K80:K85)</f>
        <v>2085995.32</v>
      </c>
      <c r="L79" s="13">
        <f>SUM(L80:L84)</f>
        <v>0</v>
      </c>
      <c r="M79" s="13">
        <f t="shared" si="10"/>
        <v>9224332.209999999</v>
      </c>
    </row>
    <row r="80" spans="1:16" ht="42.75">
      <c r="A80" s="10">
        <v>170102</v>
      </c>
      <c r="B80" s="12" t="s">
        <v>112</v>
      </c>
      <c r="C80" s="14">
        <f>1522812+9977.2+31000</f>
        <v>1563789.2</v>
      </c>
      <c r="D80" s="14"/>
      <c r="E80" s="14"/>
      <c r="F80" s="14">
        <f aca="true" t="shared" si="12" ref="F80:F99">G80+J80</f>
        <v>0</v>
      </c>
      <c r="G80" s="14"/>
      <c r="H80" s="14"/>
      <c r="I80" s="14"/>
      <c r="J80" s="14"/>
      <c r="K80" s="14"/>
      <c r="L80" s="14"/>
      <c r="M80" s="14">
        <f t="shared" si="10"/>
        <v>1563789.2</v>
      </c>
      <c r="O80" s="15">
        <f>'[14]Лист1'!M115</f>
        <v>1563789.2</v>
      </c>
      <c r="P80" s="15">
        <f t="shared" si="3"/>
        <v>0</v>
      </c>
    </row>
    <row r="81" spans="1:16" ht="28.5">
      <c r="A81" s="10">
        <v>170103</v>
      </c>
      <c r="B81" s="12" t="s">
        <v>113</v>
      </c>
      <c r="C81" s="14">
        <f>82348-34020+20126</f>
        <v>68454</v>
      </c>
      <c r="D81" s="14"/>
      <c r="E81" s="14"/>
      <c r="F81" s="14">
        <f>G81+J81</f>
        <v>0</v>
      </c>
      <c r="G81" s="14"/>
      <c r="H81" s="14"/>
      <c r="I81" s="14"/>
      <c r="J81" s="14"/>
      <c r="K81" s="14"/>
      <c r="L81" s="14"/>
      <c r="M81" s="14">
        <f>C81+F81</f>
        <v>68454</v>
      </c>
      <c r="O81" s="15">
        <f>'[14]Лист1'!M116</f>
        <v>68454</v>
      </c>
      <c r="P81" s="15">
        <f t="shared" si="3"/>
        <v>0</v>
      </c>
    </row>
    <row r="82" spans="1:16" ht="44.25" customHeight="1">
      <c r="A82" s="10">
        <v>170302</v>
      </c>
      <c r="B82" s="12" t="s">
        <v>70</v>
      </c>
      <c r="C82" s="14">
        <f>60000</f>
        <v>60000</v>
      </c>
      <c r="D82" s="14"/>
      <c r="E82" s="14"/>
      <c r="F82" s="14">
        <f t="shared" si="12"/>
        <v>0</v>
      </c>
      <c r="G82" s="14"/>
      <c r="H82" s="14"/>
      <c r="I82" s="14"/>
      <c r="J82" s="14"/>
      <c r="K82" s="14"/>
      <c r="L82" s="14"/>
      <c r="M82" s="14">
        <f t="shared" si="10"/>
        <v>60000</v>
      </c>
      <c r="O82" s="15">
        <f>'[14]Лист1'!M117</f>
        <v>60000</v>
      </c>
      <c r="P82" s="15">
        <f t="shared" si="3"/>
        <v>0</v>
      </c>
    </row>
    <row r="83" spans="1:16" ht="85.5" customHeight="1">
      <c r="A83" s="22">
        <v>170703</v>
      </c>
      <c r="B83" s="12" t="s">
        <v>92</v>
      </c>
      <c r="C83" s="14"/>
      <c r="D83" s="14"/>
      <c r="E83" s="14"/>
      <c r="F83" s="23">
        <f t="shared" si="12"/>
        <v>3140261.1100000003</v>
      </c>
      <c r="G83" s="23">
        <f>942700+16565.79+95000</f>
        <v>1054265.79</v>
      </c>
      <c r="H83" s="23"/>
      <c r="I83" s="23"/>
      <c r="J83" s="14">
        <f>226000+84979+615400+1159616.32</f>
        <v>2085995.32</v>
      </c>
      <c r="K83" s="14">
        <f>226000+84979+615400+1159616.32</f>
        <v>2085995.32</v>
      </c>
      <c r="L83" s="14"/>
      <c r="M83" s="23">
        <f t="shared" si="10"/>
        <v>3140261.1100000003</v>
      </c>
      <c r="O83" s="15">
        <f>'[14]Лист1'!M45</f>
        <v>3140261.1100000003</v>
      </c>
      <c r="P83" s="15">
        <f aca="true" t="shared" si="13" ref="P83:P100">O83-M83</f>
        <v>0</v>
      </c>
    </row>
    <row r="84" spans="1:16" s="20" customFormat="1" ht="71.25">
      <c r="A84" s="22">
        <v>170703</v>
      </c>
      <c r="B84" s="21" t="s">
        <v>106</v>
      </c>
      <c r="C84" s="19"/>
      <c r="D84" s="19"/>
      <c r="E84" s="19"/>
      <c r="F84" s="23">
        <f t="shared" si="12"/>
        <v>3177648.1</v>
      </c>
      <c r="G84" s="23">
        <f>720300+63595.75+94600-3200</f>
        <v>875295.75</v>
      </c>
      <c r="H84" s="23"/>
      <c r="I84" s="23"/>
      <c r="J84" s="23">
        <f>1530500+567452.35+201200+3200</f>
        <v>2302352.35</v>
      </c>
      <c r="K84" s="23"/>
      <c r="L84" s="23"/>
      <c r="M84" s="23">
        <f t="shared" si="10"/>
        <v>3177648.1</v>
      </c>
      <c r="N84" s="24"/>
      <c r="O84" s="15">
        <f>'[14]Лист1'!M46</f>
        <v>3177648.1</v>
      </c>
      <c r="P84" s="15">
        <f t="shared" si="13"/>
        <v>0</v>
      </c>
    </row>
    <row r="85" spans="1:16" s="20" customFormat="1" ht="71.25">
      <c r="A85" s="22">
        <v>170703</v>
      </c>
      <c r="B85" s="21" t="s">
        <v>107</v>
      </c>
      <c r="C85" s="19"/>
      <c r="D85" s="19"/>
      <c r="E85" s="19"/>
      <c r="F85" s="23">
        <f>G85+J85</f>
        <v>1214179.8</v>
      </c>
      <c r="G85" s="23">
        <f>269000-1600+2728.58</f>
        <v>270128.58</v>
      </c>
      <c r="H85" s="23"/>
      <c r="I85" s="23"/>
      <c r="J85" s="23">
        <f>571500+372651.22+1600-1700</f>
        <v>944051.22</v>
      </c>
      <c r="K85" s="23"/>
      <c r="L85" s="23"/>
      <c r="M85" s="23">
        <f>C85+F85</f>
        <v>1214179.8</v>
      </c>
      <c r="N85" s="24"/>
      <c r="O85" s="15">
        <f>'[14]Лист1'!M47</f>
        <v>1214179.8</v>
      </c>
      <c r="P85" s="15">
        <f t="shared" si="13"/>
        <v>0</v>
      </c>
    </row>
    <row r="86" spans="1:16" s="20" customFormat="1" ht="30">
      <c r="A86" s="8">
        <v>180000</v>
      </c>
      <c r="B86" s="9" t="s">
        <v>98</v>
      </c>
      <c r="C86" s="13">
        <f>C87</f>
        <v>0</v>
      </c>
      <c r="D86" s="13">
        <f aca="true" t="shared" si="14" ref="D86:L86">D87</f>
        <v>0</v>
      </c>
      <c r="E86" s="13">
        <f t="shared" si="14"/>
        <v>0</v>
      </c>
      <c r="F86" s="13">
        <f t="shared" si="14"/>
        <v>1655078</v>
      </c>
      <c r="G86" s="13">
        <f t="shared" si="14"/>
        <v>0</v>
      </c>
      <c r="H86" s="13">
        <f t="shared" si="14"/>
        <v>0</v>
      </c>
      <c r="I86" s="13">
        <f t="shared" si="14"/>
        <v>0</v>
      </c>
      <c r="J86" s="13">
        <f t="shared" si="14"/>
        <v>1655078</v>
      </c>
      <c r="K86" s="13">
        <f t="shared" si="14"/>
        <v>1655078</v>
      </c>
      <c r="L86" s="13">
        <f t="shared" si="14"/>
        <v>0</v>
      </c>
      <c r="M86" s="13">
        <f t="shared" si="10"/>
        <v>1655078</v>
      </c>
      <c r="N86" s="24"/>
      <c r="O86" s="15"/>
      <c r="P86" s="15"/>
    </row>
    <row r="87" spans="1:16" s="20" customFormat="1" ht="47.25" customHeight="1">
      <c r="A87" s="35">
        <v>180409</v>
      </c>
      <c r="B87" s="21" t="s">
        <v>99</v>
      </c>
      <c r="C87" s="14"/>
      <c r="D87" s="14"/>
      <c r="E87" s="14"/>
      <c r="F87" s="14">
        <f>G87+J87</f>
        <v>1655078</v>
      </c>
      <c r="G87" s="14"/>
      <c r="H87" s="14"/>
      <c r="I87" s="14"/>
      <c r="J87" s="14">
        <f>50000+420000+422000+150000+100000+200000+150000+33078+130000</f>
        <v>1655078</v>
      </c>
      <c r="K87" s="14">
        <f>50000+420000+422000+150000+100000+200000+150000+33078+130000</f>
        <v>1655078</v>
      </c>
      <c r="L87" s="14"/>
      <c r="M87" s="14">
        <f t="shared" si="10"/>
        <v>1655078</v>
      </c>
      <c r="N87" s="24"/>
      <c r="O87" s="15">
        <f>'[14]Лист1'!$M$49</f>
        <v>1655078</v>
      </c>
      <c r="P87" s="15">
        <f t="shared" si="13"/>
        <v>0</v>
      </c>
    </row>
    <row r="88" spans="1:13" ht="45">
      <c r="A88" s="8">
        <v>210000</v>
      </c>
      <c r="B88" s="18" t="s">
        <v>41</v>
      </c>
      <c r="C88" s="13">
        <f>SUM(C89:C91)</f>
        <v>696363.5800000001</v>
      </c>
      <c r="D88" s="13">
        <f aca="true" t="shared" si="15" ref="D88:L88">SUM(D89:D91)</f>
        <v>0</v>
      </c>
      <c r="E88" s="13">
        <f t="shared" si="15"/>
        <v>0</v>
      </c>
      <c r="F88" s="13">
        <f t="shared" si="15"/>
        <v>75899.94</v>
      </c>
      <c r="G88" s="13">
        <f t="shared" si="15"/>
        <v>0</v>
      </c>
      <c r="H88" s="13">
        <f t="shared" si="15"/>
        <v>0</v>
      </c>
      <c r="I88" s="13">
        <f t="shared" si="15"/>
        <v>0</v>
      </c>
      <c r="J88" s="13">
        <f t="shared" si="15"/>
        <v>75899.94</v>
      </c>
      <c r="K88" s="13">
        <f t="shared" si="15"/>
        <v>75899.94</v>
      </c>
      <c r="L88" s="13">
        <f t="shared" si="15"/>
        <v>0</v>
      </c>
      <c r="M88" s="13">
        <f t="shared" si="10"/>
        <v>772263.52</v>
      </c>
    </row>
    <row r="89" spans="1:16" ht="42.75">
      <c r="A89" s="10">
        <v>210105</v>
      </c>
      <c r="B89" s="12" t="s">
        <v>119</v>
      </c>
      <c r="C89" s="14">
        <f>11656.58+8451</f>
        <v>20107.58</v>
      </c>
      <c r="D89" s="14"/>
      <c r="E89" s="13"/>
      <c r="F89" s="25">
        <f>G89+J89</f>
        <v>0</v>
      </c>
      <c r="G89" s="13"/>
      <c r="H89" s="13"/>
      <c r="I89" s="13"/>
      <c r="J89" s="13"/>
      <c r="K89" s="13"/>
      <c r="L89" s="13"/>
      <c r="M89" s="25">
        <f t="shared" si="10"/>
        <v>20107.58</v>
      </c>
      <c r="O89" s="15">
        <f>'[14]Лист1'!M51</f>
        <v>20107.58</v>
      </c>
      <c r="P89" s="15">
        <f t="shared" si="13"/>
        <v>0</v>
      </c>
    </row>
    <row r="90" spans="1:16" ht="48.75" customHeight="1">
      <c r="A90" s="36">
        <v>210106</v>
      </c>
      <c r="B90" s="37" t="s">
        <v>102</v>
      </c>
      <c r="C90" s="25">
        <f>20000+55000+24892+268964+107400</f>
        <v>476256</v>
      </c>
      <c r="D90" s="29"/>
      <c r="E90" s="29"/>
      <c r="F90" s="25">
        <f>G90+J90</f>
        <v>38899.94</v>
      </c>
      <c r="G90" s="29"/>
      <c r="H90" s="29"/>
      <c r="I90" s="29"/>
      <c r="J90" s="25">
        <f>24000+30000+10900-10900-15100.06</f>
        <v>38899.94</v>
      </c>
      <c r="K90" s="25">
        <f>24000+30000+10900-10900-15100.06</f>
        <v>38899.94</v>
      </c>
      <c r="L90" s="29"/>
      <c r="M90" s="25">
        <f t="shared" si="10"/>
        <v>515155.94</v>
      </c>
      <c r="O90" s="15">
        <f>'[14]Лист1'!M52</f>
        <v>515155.94</v>
      </c>
      <c r="P90" s="15">
        <f t="shared" si="13"/>
        <v>0</v>
      </c>
    </row>
    <row r="91" spans="1:16" ht="28.5">
      <c r="A91" s="10">
        <v>210110</v>
      </c>
      <c r="B91" s="12" t="s">
        <v>42</v>
      </c>
      <c r="C91" s="14">
        <f>200000</f>
        <v>200000</v>
      </c>
      <c r="D91" s="14"/>
      <c r="E91" s="14"/>
      <c r="F91" s="14">
        <f t="shared" si="12"/>
        <v>37000</v>
      </c>
      <c r="G91" s="14"/>
      <c r="H91" s="14"/>
      <c r="I91" s="14"/>
      <c r="J91" s="14">
        <f>30280+6720</f>
        <v>37000</v>
      </c>
      <c r="K91" s="14">
        <f>30280+6720</f>
        <v>37000</v>
      </c>
      <c r="L91" s="14"/>
      <c r="M91" s="14">
        <f t="shared" si="10"/>
        <v>237000</v>
      </c>
      <c r="O91" s="15">
        <f>'[14]Лист1'!M53</f>
        <v>237000</v>
      </c>
      <c r="P91" s="15">
        <f t="shared" si="13"/>
        <v>0</v>
      </c>
    </row>
    <row r="92" spans="1:13" ht="15">
      <c r="A92" s="8">
        <v>240000</v>
      </c>
      <c r="B92" s="18" t="s">
        <v>43</v>
      </c>
      <c r="C92" s="13">
        <f aca="true" t="shared" si="16" ref="C92:L92">SUM(C93:C94)</f>
        <v>0</v>
      </c>
      <c r="D92" s="13">
        <f t="shared" si="16"/>
        <v>0</v>
      </c>
      <c r="E92" s="13">
        <f t="shared" si="16"/>
        <v>0</v>
      </c>
      <c r="F92" s="13">
        <f t="shared" si="16"/>
        <v>70722.89</v>
      </c>
      <c r="G92" s="13">
        <f t="shared" si="16"/>
        <v>70722.89</v>
      </c>
      <c r="H92" s="13">
        <f t="shared" si="16"/>
        <v>0</v>
      </c>
      <c r="I92" s="13">
        <f t="shared" si="16"/>
        <v>0</v>
      </c>
      <c r="J92" s="13">
        <f t="shared" si="16"/>
        <v>0</v>
      </c>
      <c r="K92" s="13">
        <f t="shared" si="16"/>
        <v>0</v>
      </c>
      <c r="L92" s="13">
        <f t="shared" si="16"/>
        <v>0</v>
      </c>
      <c r="M92" s="13">
        <f t="shared" si="10"/>
        <v>70722.89</v>
      </c>
    </row>
    <row r="93" spans="1:16" ht="28.5">
      <c r="A93" s="10">
        <v>240601</v>
      </c>
      <c r="B93" s="12" t="s">
        <v>44</v>
      </c>
      <c r="C93" s="14"/>
      <c r="D93" s="14"/>
      <c r="E93" s="14"/>
      <c r="F93" s="14">
        <f t="shared" si="12"/>
        <v>67500</v>
      </c>
      <c r="G93" s="14">
        <f>37600+29900</f>
        <v>67500</v>
      </c>
      <c r="H93" s="14"/>
      <c r="I93" s="14"/>
      <c r="J93" s="14"/>
      <c r="K93" s="14"/>
      <c r="L93" s="14"/>
      <c r="M93" s="14">
        <f t="shared" si="10"/>
        <v>67500</v>
      </c>
      <c r="O93" s="15">
        <f>'[14]Лист1'!M56</f>
        <v>67500</v>
      </c>
      <c r="P93" s="15">
        <f t="shared" si="13"/>
        <v>0</v>
      </c>
    </row>
    <row r="94" spans="1:16" ht="15">
      <c r="A94" s="10">
        <v>240602</v>
      </c>
      <c r="B94" s="12" t="s">
        <v>65</v>
      </c>
      <c r="C94" s="14"/>
      <c r="D94" s="14"/>
      <c r="E94" s="14"/>
      <c r="F94" s="14">
        <f t="shared" si="12"/>
        <v>3222.8899999999994</v>
      </c>
      <c r="G94" s="14">
        <f>30000+3122.89-29900</f>
        <v>3222.8899999999994</v>
      </c>
      <c r="H94" s="14"/>
      <c r="I94" s="14"/>
      <c r="J94" s="14"/>
      <c r="K94" s="14"/>
      <c r="L94" s="14"/>
      <c r="M94" s="14">
        <f t="shared" si="10"/>
        <v>3222.8899999999994</v>
      </c>
      <c r="O94" s="15">
        <f>'[14]Лист1'!M57</f>
        <v>3222.8899999999994</v>
      </c>
      <c r="P94" s="15">
        <f t="shared" si="13"/>
        <v>0</v>
      </c>
    </row>
    <row r="95" spans="1:13" ht="30">
      <c r="A95" s="8">
        <v>250000</v>
      </c>
      <c r="B95" s="18" t="s">
        <v>45</v>
      </c>
      <c r="C95" s="13">
        <f aca="true" t="shared" si="17" ref="C95:J95">SUM(C96:C99)</f>
        <v>1079777.76</v>
      </c>
      <c r="D95" s="13">
        <f t="shared" si="17"/>
        <v>0</v>
      </c>
      <c r="E95" s="13">
        <f t="shared" si="17"/>
        <v>0</v>
      </c>
      <c r="F95" s="13">
        <f t="shared" si="17"/>
        <v>1539732.6</v>
      </c>
      <c r="G95" s="13">
        <f t="shared" si="17"/>
        <v>0</v>
      </c>
      <c r="H95" s="13">
        <f t="shared" si="17"/>
        <v>0</v>
      </c>
      <c r="I95" s="13">
        <f t="shared" si="17"/>
        <v>0</v>
      </c>
      <c r="J95" s="13">
        <f t="shared" si="17"/>
        <v>1539732.6</v>
      </c>
      <c r="K95" s="13">
        <f>SUM(K96:K99)</f>
        <v>1539732.6</v>
      </c>
      <c r="L95" s="13">
        <f>SUM(L96:L98)</f>
        <v>0</v>
      </c>
      <c r="M95" s="13">
        <f t="shared" si="10"/>
        <v>2619510.3600000003</v>
      </c>
    </row>
    <row r="96" spans="1:16" ht="15">
      <c r="A96" s="10">
        <v>250102</v>
      </c>
      <c r="B96" s="12" t="s">
        <v>46</v>
      </c>
      <c r="C96" s="14">
        <f>100000-11656.58-24892-55000-8451+200000-196964-3036.42+100000</f>
        <v>99999.99999999999</v>
      </c>
      <c r="D96" s="14"/>
      <c r="E96" s="14"/>
      <c r="F96" s="14">
        <f t="shared" si="12"/>
        <v>0</v>
      </c>
      <c r="G96" s="14"/>
      <c r="H96" s="14"/>
      <c r="I96" s="14"/>
      <c r="J96" s="14"/>
      <c r="K96" s="14"/>
      <c r="L96" s="14"/>
      <c r="M96" s="14">
        <f t="shared" si="10"/>
        <v>99999.99999999999</v>
      </c>
      <c r="O96" s="15">
        <f>'[14]Лист1'!$M$134</f>
        <v>99999.99999999999</v>
      </c>
      <c r="P96" s="15">
        <f t="shared" si="13"/>
        <v>0</v>
      </c>
    </row>
    <row r="97" spans="1:16" ht="37.5" customHeight="1">
      <c r="A97" s="30">
        <v>250403</v>
      </c>
      <c r="B97" s="12" t="s">
        <v>93</v>
      </c>
      <c r="C97" s="14">
        <f>549224.24+1170.46+13878.22+900+18000+209248.22+43.51+13.31+288-4480</f>
        <v>788285.96</v>
      </c>
      <c r="D97" s="14"/>
      <c r="E97" s="25"/>
      <c r="F97" s="14">
        <f t="shared" si="12"/>
        <v>274775.6</v>
      </c>
      <c r="G97" s="14"/>
      <c r="H97" s="14"/>
      <c r="I97" s="14"/>
      <c r="J97" s="14">
        <f>74136+213154.8-12515.2</f>
        <v>274775.6</v>
      </c>
      <c r="K97" s="14">
        <f>74136+213154.8-12515.2</f>
        <v>274775.6</v>
      </c>
      <c r="L97" s="14"/>
      <c r="M97" s="14">
        <f t="shared" si="10"/>
        <v>1063061.56</v>
      </c>
      <c r="O97" s="15">
        <f>'[14]Лист1'!$M$60+'[14]Лист1'!$M$76+'[14]Лист1'!$M$118+'[14]Лист1'!$M$129</f>
        <v>1063061.56</v>
      </c>
      <c r="P97" s="15">
        <f t="shared" si="13"/>
        <v>0</v>
      </c>
    </row>
    <row r="98" spans="1:16" ht="15">
      <c r="A98" s="10">
        <v>250404</v>
      </c>
      <c r="B98" s="12" t="s">
        <v>47</v>
      </c>
      <c r="C98" s="25">
        <f>310637-59145.2-100000+40000</f>
        <v>191491.8</v>
      </c>
      <c r="D98" s="14"/>
      <c r="E98" s="14"/>
      <c r="F98" s="14">
        <f t="shared" si="12"/>
        <v>0</v>
      </c>
      <c r="G98" s="14"/>
      <c r="H98" s="14"/>
      <c r="I98" s="14"/>
      <c r="J98" s="14">
        <f>20000-20000</f>
        <v>0</v>
      </c>
      <c r="K98" s="14">
        <f>20000-20000</f>
        <v>0</v>
      </c>
      <c r="L98" s="14"/>
      <c r="M98" s="14">
        <f t="shared" si="10"/>
        <v>191491.8</v>
      </c>
      <c r="O98" s="15">
        <f>'[14]Лист1'!$M$61</f>
        <v>191491.8</v>
      </c>
      <c r="P98" s="15">
        <f t="shared" si="13"/>
        <v>0</v>
      </c>
    </row>
    <row r="99" spans="1:16" ht="47.25" customHeight="1">
      <c r="A99" s="41">
        <v>250344</v>
      </c>
      <c r="B99" s="42" t="s">
        <v>124</v>
      </c>
      <c r="C99" s="25"/>
      <c r="D99" s="14"/>
      <c r="E99" s="14"/>
      <c r="F99" s="14">
        <f t="shared" si="12"/>
        <v>1264957</v>
      </c>
      <c r="G99" s="14"/>
      <c r="H99" s="14"/>
      <c r="I99" s="14"/>
      <c r="J99" s="14">
        <f>480000+784957</f>
        <v>1264957</v>
      </c>
      <c r="K99" s="14">
        <f>480000+784957</f>
        <v>1264957</v>
      </c>
      <c r="L99" s="14"/>
      <c r="M99" s="14">
        <f t="shared" si="10"/>
        <v>1264957</v>
      </c>
      <c r="O99" s="15"/>
      <c r="P99" s="15"/>
    </row>
    <row r="100" spans="1:16" ht="15">
      <c r="A100" s="54" t="s">
        <v>51</v>
      </c>
      <c r="B100" s="55"/>
      <c r="C100" s="13">
        <f aca="true" t="shared" si="18" ref="C100:L100">C95+C92+C88+C79+C76+C73+C70+C64+C59+C22+C13+C11+C86</f>
        <v>128058781.61</v>
      </c>
      <c r="D100" s="13">
        <f t="shared" si="18"/>
        <v>38899196</v>
      </c>
      <c r="E100" s="13">
        <f t="shared" si="18"/>
        <v>4760537.24</v>
      </c>
      <c r="F100" s="13">
        <f t="shared" si="18"/>
        <v>40910469.08</v>
      </c>
      <c r="G100" s="13">
        <f t="shared" si="18"/>
        <v>22274005.71</v>
      </c>
      <c r="H100" s="13">
        <f t="shared" si="18"/>
        <v>646136</v>
      </c>
      <c r="I100" s="13">
        <f t="shared" si="18"/>
        <v>126407</v>
      </c>
      <c r="J100" s="13">
        <f t="shared" si="18"/>
        <v>18636463.369999997</v>
      </c>
      <c r="K100" s="13">
        <f>K95+K92+K88+K86+K79+K76+K73+K70+K64+K59+K22+K13+K11</f>
        <v>14355627.8</v>
      </c>
      <c r="L100" s="13">
        <f t="shared" si="18"/>
        <v>19000</v>
      </c>
      <c r="M100" s="13">
        <f t="shared" si="10"/>
        <v>168969250.69</v>
      </c>
      <c r="O100" s="15">
        <f>'[14]Лист1'!$M$136</f>
        <v>168969250.69</v>
      </c>
      <c r="P100" s="15">
        <f t="shared" si="13"/>
        <v>0</v>
      </c>
    </row>
    <row r="101" spans="3:15" ht="15">
      <c r="C101" s="15"/>
      <c r="D101" s="15"/>
      <c r="E101" s="15"/>
      <c r="F101" s="15"/>
      <c r="K101" s="15"/>
      <c r="O101" s="15"/>
    </row>
    <row r="102" spans="2:7" ht="15">
      <c r="B102" s="1" t="s">
        <v>48</v>
      </c>
      <c r="D102" s="50"/>
      <c r="E102" s="50"/>
      <c r="G102" s="1" t="s">
        <v>49</v>
      </c>
    </row>
    <row r="103" spans="2:7" ht="15">
      <c r="B103" s="1"/>
      <c r="D103" s="39"/>
      <c r="E103" s="39"/>
      <c r="F103" s="15"/>
      <c r="G103" s="1"/>
    </row>
    <row r="104" spans="2:13" ht="90.75" customHeight="1">
      <c r="B104" t="s">
        <v>138</v>
      </c>
      <c r="C104" s="15">
        <f>'[17]Лист1'!$C$108</f>
        <v>127932664.2</v>
      </c>
      <c r="D104" s="50" t="s">
        <v>144</v>
      </c>
      <c r="E104" s="50"/>
      <c r="F104" s="15">
        <f>'[17]Лист1'!$D$108</f>
        <v>36451877.7</v>
      </c>
      <c r="G104" s="50" t="s">
        <v>141</v>
      </c>
      <c r="H104" s="50"/>
      <c r="I104" s="51"/>
      <c r="J104" s="15"/>
      <c r="K104" s="15">
        <f>'[17]Лист1'!$E$108</f>
        <v>11892205</v>
      </c>
      <c r="M104" s="15">
        <f>'[17]Лист1'!$F$108</f>
        <v>164384541.9</v>
      </c>
    </row>
    <row r="105" spans="2:17" ht="15">
      <c r="B105" t="s">
        <v>94</v>
      </c>
      <c r="C105" s="15">
        <f>C104-C100</f>
        <v>-126117.40999999642</v>
      </c>
      <c r="D105" s="46"/>
      <c r="E105" s="46"/>
      <c r="F105" s="15">
        <f>F104-F100</f>
        <v>-4458591.379999995</v>
      </c>
      <c r="G105" s="51"/>
      <c r="H105" s="51"/>
      <c r="I105" s="51"/>
      <c r="J105" s="15"/>
      <c r="K105" s="15">
        <f>K104-K100</f>
        <v>-2463422.8000000007</v>
      </c>
      <c r="M105" s="15">
        <f>M104-M100</f>
        <v>-4584708.789999992</v>
      </c>
      <c r="O105" s="15">
        <f>'[16]Лист1'!$F$21</f>
        <v>4584708.790000001</v>
      </c>
      <c r="P105" s="15">
        <f>O105+M105</f>
        <v>9.313225746154785E-09</v>
      </c>
      <c r="Q105" t="s">
        <v>140</v>
      </c>
    </row>
    <row r="106" spans="2:13" ht="15">
      <c r="B106" t="s">
        <v>139</v>
      </c>
      <c r="C106" s="15">
        <f>'[14]Лист1'!C136</f>
        <v>128058781.61000001</v>
      </c>
      <c r="D106" s="15">
        <f>'[14]Лист1'!D136</f>
        <v>38899196</v>
      </c>
      <c r="E106" s="15">
        <f>'[14]Лист1'!E136</f>
        <v>4760537.24</v>
      </c>
      <c r="F106" s="15">
        <f>'[14]Лист1'!F136</f>
        <v>40910469.08</v>
      </c>
      <c r="G106" s="15">
        <f>'[14]Лист1'!G136</f>
        <v>22274005.71</v>
      </c>
      <c r="H106" s="15">
        <f>'[14]Лист1'!H136</f>
        <v>646136</v>
      </c>
      <c r="I106" s="15">
        <f>'[14]Лист1'!I136</f>
        <v>126407</v>
      </c>
      <c r="J106" s="15">
        <f>'[14]Лист1'!J136</f>
        <v>18636463.369999997</v>
      </c>
      <c r="K106" s="15">
        <f>'[14]Лист1'!K136</f>
        <v>14355627.799999999</v>
      </c>
      <c r="L106" s="15">
        <f>'[14]Лист1'!L136</f>
        <v>19000</v>
      </c>
      <c r="M106" s="15">
        <f>'[14]Лист1'!M136</f>
        <v>168969250.69</v>
      </c>
    </row>
    <row r="107" spans="2:13" ht="15">
      <c r="B107" t="s">
        <v>94</v>
      </c>
      <c r="C107" s="15">
        <f aca="true" t="shared" si="19" ref="C107:M107">C106-C100</f>
        <v>0</v>
      </c>
      <c r="D107" s="15">
        <f t="shared" si="19"/>
        <v>0</v>
      </c>
      <c r="E107" s="15">
        <f t="shared" si="19"/>
        <v>0</v>
      </c>
      <c r="F107" s="15">
        <f t="shared" si="19"/>
        <v>0</v>
      </c>
      <c r="G107" s="15">
        <f t="shared" si="19"/>
        <v>0</v>
      </c>
      <c r="H107" s="15">
        <f t="shared" si="19"/>
        <v>0</v>
      </c>
      <c r="I107" s="15">
        <f t="shared" si="19"/>
        <v>0</v>
      </c>
      <c r="J107" s="15">
        <f t="shared" si="19"/>
        <v>0</v>
      </c>
      <c r="K107" s="15">
        <f t="shared" si="19"/>
        <v>0</v>
      </c>
      <c r="L107" s="15">
        <f t="shared" si="19"/>
        <v>0</v>
      </c>
      <c r="M107" s="15">
        <f t="shared" si="19"/>
        <v>0</v>
      </c>
    </row>
    <row r="108" spans="2:12" ht="15">
      <c r="B108" t="s">
        <v>95</v>
      </c>
      <c r="C108">
        <f>-1435892+31000+1740000</f>
        <v>335108</v>
      </c>
      <c r="D108" s="49">
        <f>38312611-D100</f>
        <v>-586585</v>
      </c>
      <c r="E108" s="49">
        <f>4320335+2212.24-E100</f>
        <v>-437990</v>
      </c>
      <c r="F108" s="15">
        <f>-31000+13829151+800000+969052</f>
        <v>15567203</v>
      </c>
      <c r="G108" s="1"/>
      <c r="K108">
        <f>800000-31000</f>
        <v>769000</v>
      </c>
      <c r="L108">
        <f>31000</f>
        <v>31000</v>
      </c>
    </row>
    <row r="109" spans="2:7" ht="15">
      <c r="B109" t="s">
        <v>94</v>
      </c>
      <c r="D109" s="46"/>
      <c r="E109" s="46"/>
      <c r="F109" s="15"/>
      <c r="G109" s="1"/>
    </row>
    <row r="110" spans="2:11" ht="15">
      <c r="B110" t="s">
        <v>142</v>
      </c>
      <c r="C110">
        <f>127723673.61</f>
        <v>127723673.61</v>
      </c>
      <c r="D110" s="48"/>
      <c r="E110" s="48"/>
      <c r="F110" s="15">
        <f>40941469.08</f>
        <v>40941469.08</v>
      </c>
      <c r="G110" s="1"/>
      <c r="K110">
        <f>14386627.8</f>
        <v>14386627.8</v>
      </c>
    </row>
    <row r="111" spans="3:11" ht="15">
      <c r="C111" s="15">
        <f>C110-C100</f>
        <v>-335108</v>
      </c>
      <c r="D111" s="49">
        <f>C110-C100</f>
        <v>-335108</v>
      </c>
      <c r="E111" s="48"/>
      <c r="F111" s="15">
        <f>F110-F100</f>
        <v>31000</v>
      </c>
      <c r="G111" s="1"/>
      <c r="K111" s="15">
        <f>K110-K100</f>
        <v>31000</v>
      </c>
    </row>
    <row r="112" spans="3:7" ht="15">
      <c r="C112" s="15">
        <f>C111-C105</f>
        <v>-208990.59000000358</v>
      </c>
      <c r="D112" s="48"/>
      <c r="E112" s="48"/>
      <c r="F112" s="15"/>
      <c r="G112" s="1"/>
    </row>
    <row r="113" spans="4:7" ht="15">
      <c r="D113" s="48"/>
      <c r="E113" s="48"/>
      <c r="F113" s="15"/>
      <c r="G113" s="1"/>
    </row>
    <row r="114" spans="2:13" ht="15">
      <c r="B114" t="s">
        <v>136</v>
      </c>
      <c r="C114" s="15">
        <f>'[15]Лист1'!$C$107</f>
        <v>126634527</v>
      </c>
      <c r="D114" s="50" t="s">
        <v>128</v>
      </c>
      <c r="E114" s="50"/>
      <c r="F114" s="15">
        <f>'[15]Лист1'!$D$107</f>
        <v>21822726.64</v>
      </c>
      <c r="G114" s="50" t="s">
        <v>120</v>
      </c>
      <c r="H114" s="50"/>
      <c r="I114" s="51"/>
      <c r="J114" s="15"/>
      <c r="K114" s="15">
        <f>'[15]Лист1'!$E$107</f>
        <v>11092205</v>
      </c>
      <c r="M114" s="15">
        <f>'[15]Лист1'!$F$107</f>
        <v>148457253.64</v>
      </c>
    </row>
    <row r="115" spans="2:13" ht="15">
      <c r="B115" t="s">
        <v>94</v>
      </c>
      <c r="C115" s="15">
        <f>C114-C106</f>
        <v>-1424254.6100000143</v>
      </c>
      <c r="D115" s="47"/>
      <c r="E115" s="47"/>
      <c r="F115" s="15">
        <f>F114-F106</f>
        <v>-19087742.439999998</v>
      </c>
      <c r="G115" s="51"/>
      <c r="H115" s="51"/>
      <c r="I115" s="51"/>
      <c r="J115" s="15"/>
      <c r="K115" s="15">
        <f>K114-K106</f>
        <v>-3263422.799999999</v>
      </c>
      <c r="M115" s="15">
        <f>M114-M106</f>
        <v>-20511997.050000012</v>
      </c>
    </row>
    <row r="116" spans="2:7" ht="15">
      <c r="B116" t="s">
        <v>137</v>
      </c>
      <c r="D116" s="47"/>
      <c r="E116" s="47"/>
      <c r="F116" s="15"/>
      <c r="G116" s="1"/>
    </row>
    <row r="117" spans="2:7" ht="15">
      <c r="B117" t="s">
        <v>94</v>
      </c>
      <c r="D117" s="47"/>
      <c r="E117" s="47"/>
      <c r="F117" s="15"/>
      <c r="G117" s="1"/>
    </row>
    <row r="118" spans="2:7" ht="15">
      <c r="B118" t="s">
        <v>95</v>
      </c>
      <c r="D118" s="47"/>
      <c r="E118" s="47"/>
      <c r="F118" s="15"/>
      <c r="G118" s="1"/>
    </row>
    <row r="119" spans="2:7" ht="15">
      <c r="B119" t="s">
        <v>94</v>
      </c>
      <c r="D119" s="47"/>
      <c r="E119" s="47"/>
      <c r="F119" s="15"/>
      <c r="G119" s="1"/>
    </row>
    <row r="120" spans="2:13" ht="66.75" customHeight="1">
      <c r="B120" t="s">
        <v>131</v>
      </c>
      <c r="C120" s="15">
        <f>'[12]Лист1'!$C$107</f>
        <v>126634527</v>
      </c>
      <c r="D120" s="50" t="s">
        <v>128</v>
      </c>
      <c r="E120" s="50"/>
      <c r="F120" s="15">
        <f>'[12]Лист1'!$D$107</f>
        <v>21822726.64</v>
      </c>
      <c r="G120" s="50" t="s">
        <v>120</v>
      </c>
      <c r="H120" s="50"/>
      <c r="I120" s="51"/>
      <c r="K120" s="15">
        <f>'[12]Лист1'!$E$107</f>
        <v>11092205</v>
      </c>
      <c r="M120" s="15">
        <f>'[12]Лист1'!$F$107</f>
        <v>148457253.64</v>
      </c>
    </row>
    <row r="121" spans="2:13" ht="15">
      <c r="B121" t="s">
        <v>94</v>
      </c>
      <c r="C121" s="15">
        <f>C120-C100</f>
        <v>-1424254.6099999994</v>
      </c>
      <c r="D121" s="43"/>
      <c r="E121" s="43"/>
      <c r="F121" s="15">
        <f>F120-F100</f>
        <v>-19087742.439999998</v>
      </c>
      <c r="G121" s="51"/>
      <c r="H121" s="51"/>
      <c r="I121" s="51"/>
      <c r="K121" s="15">
        <f>K120-K100</f>
        <v>-3263422.8000000007</v>
      </c>
      <c r="M121" s="15">
        <f>M120-M100</f>
        <v>-20511997.050000012</v>
      </c>
    </row>
    <row r="122" spans="2:13" ht="15">
      <c r="B122" t="s">
        <v>132</v>
      </c>
      <c r="C122" s="15">
        <f>'[13]Лист1'!C136</f>
        <v>127698696.41</v>
      </c>
      <c r="D122" s="15">
        <f>'[13]Лист1'!D136</f>
        <v>38303138</v>
      </c>
      <c r="E122" s="15">
        <f>'[13]Лист1'!E136</f>
        <v>4319275</v>
      </c>
      <c r="F122" s="15">
        <f>'[13]Лист1'!F136</f>
        <v>25343266.080000002</v>
      </c>
      <c r="G122" s="15">
        <f>'[13]Лист1'!G136</f>
        <v>8444854.709999999</v>
      </c>
      <c r="H122" s="15">
        <f>'[13]Лист1'!H136</f>
        <v>646136</v>
      </c>
      <c r="I122" s="15">
        <f>'[13]Лист1'!I136</f>
        <v>126407</v>
      </c>
      <c r="J122" s="15">
        <f>'[13]Лист1'!J136</f>
        <v>16898411.37</v>
      </c>
      <c r="K122" s="15">
        <f>'[13]Лист1'!K136</f>
        <v>13586627.8</v>
      </c>
      <c r="L122" s="15">
        <f>'[13]Лист1'!L136</f>
        <v>50000</v>
      </c>
      <c r="M122" s="15">
        <f>'[13]Лист1'!M136</f>
        <v>153041962.49</v>
      </c>
    </row>
    <row r="123" spans="2:13" ht="15">
      <c r="B123" t="s">
        <v>94</v>
      </c>
      <c r="C123" s="15">
        <f aca="true" t="shared" si="20" ref="C123:M123">C122-C100</f>
        <v>-360085.200000003</v>
      </c>
      <c r="D123" s="15">
        <f t="shared" si="20"/>
        <v>-596058</v>
      </c>
      <c r="E123" s="15">
        <f t="shared" si="20"/>
        <v>-441262.2400000002</v>
      </c>
      <c r="F123" s="15">
        <f t="shared" si="20"/>
        <v>-15567202.999999996</v>
      </c>
      <c r="G123" s="15">
        <f t="shared" si="20"/>
        <v>-13829151.000000002</v>
      </c>
      <c r="H123" s="15">
        <f t="shared" si="20"/>
        <v>0</v>
      </c>
      <c r="I123" s="15">
        <f t="shared" si="20"/>
        <v>0</v>
      </c>
      <c r="J123" s="15">
        <f t="shared" si="20"/>
        <v>-1738051.9999999963</v>
      </c>
      <c r="K123" s="15">
        <f t="shared" si="20"/>
        <v>-769000</v>
      </c>
      <c r="L123" s="15">
        <f t="shared" si="20"/>
        <v>31000</v>
      </c>
      <c r="M123" s="15">
        <f t="shared" si="20"/>
        <v>-15927288.199999988</v>
      </c>
    </row>
    <row r="124" spans="2:7" ht="15">
      <c r="B124" t="s">
        <v>95</v>
      </c>
      <c r="D124" s="43"/>
      <c r="E124" s="43"/>
      <c r="G124" s="1"/>
    </row>
    <row r="125" spans="2:7" ht="15">
      <c r="B125" t="s">
        <v>94</v>
      </c>
      <c r="D125" s="43"/>
      <c r="E125" s="43"/>
      <c r="G125" s="1"/>
    </row>
    <row r="126" spans="2:13" ht="87.75" customHeight="1">
      <c r="B126" t="s">
        <v>129</v>
      </c>
      <c r="C126" s="15">
        <f>'[11]Лист1'!$C$107</f>
        <v>126634527</v>
      </c>
      <c r="D126" s="50" t="s">
        <v>134</v>
      </c>
      <c r="E126" s="50"/>
      <c r="F126" s="15">
        <f>'[11]Лист1'!$D$107</f>
        <v>21630881.439999998</v>
      </c>
      <c r="G126" s="50" t="s">
        <v>135</v>
      </c>
      <c r="H126" s="50"/>
      <c r="I126" s="51"/>
      <c r="K126" s="15">
        <f>'[11]Лист1'!$E$107</f>
        <v>11092205</v>
      </c>
      <c r="L126" s="15"/>
      <c r="M126" s="15">
        <f>'[11]Лист1'!$F$107</f>
        <v>148265408.44</v>
      </c>
    </row>
    <row r="127" spans="2:13" ht="15">
      <c r="B127" t="s">
        <v>94</v>
      </c>
      <c r="C127" s="15">
        <f>C126-C100</f>
        <v>-1424254.6099999994</v>
      </c>
      <c r="D127" s="39"/>
      <c r="E127" s="39"/>
      <c r="F127" s="15">
        <f>F126-F100</f>
        <v>-19279587.64</v>
      </c>
      <c r="G127" s="51"/>
      <c r="H127" s="51"/>
      <c r="I127" s="51"/>
      <c r="K127" s="15">
        <f>K126-K100</f>
        <v>-3263422.8000000007</v>
      </c>
      <c r="L127" s="15"/>
      <c r="M127" s="15">
        <f>M126-M100</f>
        <v>-20703842.25</v>
      </c>
    </row>
    <row r="128" spans="2:13" ht="15">
      <c r="B128" t="s">
        <v>130</v>
      </c>
      <c r="C128" s="15">
        <f>'[10]Лист1'!C135</f>
        <v>127698696.41</v>
      </c>
      <c r="D128" s="15">
        <f>'[10]Лист1'!D135</f>
        <v>38323138</v>
      </c>
      <c r="E128" s="15">
        <f>'[10]Лист1'!E135</f>
        <v>4297706</v>
      </c>
      <c r="F128" s="15">
        <f>'[10]Лист1'!F135</f>
        <v>25151420.82</v>
      </c>
      <c r="G128" s="15">
        <f>'[10]Лист1'!G135</f>
        <v>8253009.449999999</v>
      </c>
      <c r="H128" s="15">
        <f>'[10]Лист1'!H135</f>
        <v>646136</v>
      </c>
      <c r="I128" s="15">
        <f>'[10]Лист1'!I135</f>
        <v>126407</v>
      </c>
      <c r="J128" s="15">
        <f>'[10]Лист1'!J135</f>
        <v>16898411.37</v>
      </c>
      <c r="K128" s="15">
        <f>'[10]Лист1'!K135</f>
        <v>13586627.8</v>
      </c>
      <c r="L128" s="15">
        <f>'[10]Лист1'!L135</f>
        <v>50000</v>
      </c>
      <c r="M128" s="15">
        <f>'[10]Лист1'!M135</f>
        <v>152850117.23</v>
      </c>
    </row>
    <row r="129" spans="2:13" ht="15">
      <c r="B129" t="s">
        <v>94</v>
      </c>
      <c r="C129" s="15">
        <f aca="true" t="shared" si="21" ref="C129:M129">C128-C100</f>
        <v>-360085.200000003</v>
      </c>
      <c r="D129" s="15">
        <f t="shared" si="21"/>
        <v>-576058</v>
      </c>
      <c r="E129" s="15">
        <f t="shared" si="21"/>
        <v>-462831.2400000002</v>
      </c>
      <c r="F129" s="15">
        <f t="shared" si="21"/>
        <v>-15759048.259999998</v>
      </c>
      <c r="G129" s="15">
        <f t="shared" si="21"/>
        <v>-14020996.260000002</v>
      </c>
      <c r="H129" s="15">
        <f t="shared" si="21"/>
        <v>0</v>
      </c>
      <c r="I129" s="15">
        <f t="shared" si="21"/>
        <v>0</v>
      </c>
      <c r="J129" s="15">
        <f t="shared" si="21"/>
        <v>-1738051.9999999963</v>
      </c>
      <c r="K129" s="15">
        <f t="shared" si="21"/>
        <v>-769000</v>
      </c>
      <c r="L129" s="15">
        <f t="shared" si="21"/>
        <v>31000</v>
      </c>
      <c r="M129" s="15">
        <f t="shared" si="21"/>
        <v>-16119133.460000008</v>
      </c>
    </row>
    <row r="130" spans="2:13" ht="15">
      <c r="B130" t="s">
        <v>95</v>
      </c>
      <c r="C130">
        <f>2705000</f>
        <v>2705000</v>
      </c>
      <c r="D130" s="39"/>
      <c r="E130" s="39"/>
      <c r="F130">
        <f>160000</f>
        <v>160000</v>
      </c>
      <c r="G130" s="1"/>
      <c r="M130">
        <f>F130+C130</f>
        <v>2865000</v>
      </c>
    </row>
    <row r="131" spans="2:13" ht="15">
      <c r="B131" t="s">
        <v>94</v>
      </c>
      <c r="C131" s="15">
        <f>C130-C129</f>
        <v>3065085.200000003</v>
      </c>
      <c r="D131" s="39"/>
      <c r="E131" s="39"/>
      <c r="F131" s="15">
        <f>F130-F129</f>
        <v>15919048.259999998</v>
      </c>
      <c r="G131" s="1"/>
      <c r="M131" s="15">
        <f>M130-M129</f>
        <v>18984133.46000001</v>
      </c>
    </row>
    <row r="132" spans="2:7" ht="15">
      <c r="B132" s="1"/>
      <c r="G132" s="1"/>
    </row>
    <row r="133" spans="2:13" ht="75" customHeight="1">
      <c r="B133" t="s">
        <v>125</v>
      </c>
      <c r="C133" s="15">
        <f>'[8]Лист1'!$C$107</f>
        <v>123729527</v>
      </c>
      <c r="D133" s="50" t="s">
        <v>128</v>
      </c>
      <c r="E133" s="50"/>
      <c r="F133" s="15">
        <f>'[8]Лист1'!$D$107</f>
        <v>19717645</v>
      </c>
      <c r="G133" s="50" t="s">
        <v>120</v>
      </c>
      <c r="H133" s="50"/>
      <c r="I133" s="51"/>
      <c r="K133" s="15">
        <f>'[8]Лист1'!$E$107</f>
        <v>9497248</v>
      </c>
      <c r="M133" s="15">
        <f>'[8]Лист1'!$F$107</f>
        <v>143447172</v>
      </c>
    </row>
    <row r="134" spans="2:13" ht="15">
      <c r="B134" t="s">
        <v>94</v>
      </c>
      <c r="C134" s="15">
        <f>C133-C100</f>
        <v>-4329254.609999999</v>
      </c>
      <c r="F134" s="15">
        <f>F133-F100</f>
        <v>-21192824.08</v>
      </c>
      <c r="G134" s="51"/>
      <c r="H134" s="51"/>
      <c r="I134" s="51"/>
      <c r="K134" s="15">
        <f>K133-K100</f>
        <v>-4858379.800000001</v>
      </c>
      <c r="M134" s="15">
        <f>M133-M100</f>
        <v>-25522078.689999998</v>
      </c>
    </row>
    <row r="135" spans="2:13" ht="15">
      <c r="B135" t="s">
        <v>126</v>
      </c>
      <c r="C135" s="15">
        <f>'[9]Лист1'!C135</f>
        <v>124793696.41</v>
      </c>
      <c r="D135" s="15">
        <f>'[9]Лист1'!D135</f>
        <v>36383402</v>
      </c>
      <c r="E135" s="15">
        <f>'[9]Лист1'!E135</f>
        <v>4295615</v>
      </c>
      <c r="F135" s="15">
        <f>'[9]Лист1'!F135</f>
        <v>23238184.380000003</v>
      </c>
      <c r="G135" s="15">
        <f>'[9]Лист1'!G135</f>
        <v>7934730.01</v>
      </c>
      <c r="H135" s="15">
        <f>'[9]Лист1'!H135</f>
        <v>646136</v>
      </c>
      <c r="I135" s="15">
        <f>'[9]Лист1'!I135</f>
        <v>126407</v>
      </c>
      <c r="J135" s="15">
        <f>'[9]Лист1'!J135</f>
        <v>15303454.370000001</v>
      </c>
      <c r="K135" s="15">
        <f>'[9]Лист1'!K135</f>
        <v>11991670.8</v>
      </c>
      <c r="L135" s="15">
        <f>'[9]Лист1'!L135</f>
        <v>50000</v>
      </c>
      <c r="M135" s="15">
        <f>'[9]Лист1'!M135</f>
        <v>148031880.79</v>
      </c>
    </row>
    <row r="136" spans="2:13" ht="15">
      <c r="B136" t="s">
        <v>94</v>
      </c>
      <c r="C136" s="15">
        <f aca="true" t="shared" si="22" ref="C136:M136">C135-C100</f>
        <v>-3265085.200000003</v>
      </c>
      <c r="D136" s="15">
        <f t="shared" si="22"/>
        <v>-2515794</v>
      </c>
      <c r="E136" s="15">
        <f t="shared" si="22"/>
        <v>-464922.2400000002</v>
      </c>
      <c r="F136" s="15">
        <f t="shared" si="22"/>
        <v>-17672284.699999996</v>
      </c>
      <c r="G136" s="15">
        <f t="shared" si="22"/>
        <v>-14339275.700000001</v>
      </c>
      <c r="H136" s="15">
        <f t="shared" si="22"/>
        <v>0</v>
      </c>
      <c r="I136" s="15">
        <f t="shared" si="22"/>
        <v>0</v>
      </c>
      <c r="J136" s="15">
        <f t="shared" si="22"/>
        <v>-3333008.9999999963</v>
      </c>
      <c r="K136" s="15">
        <f t="shared" si="22"/>
        <v>-2363957</v>
      </c>
      <c r="L136" s="15">
        <f t="shared" si="22"/>
        <v>31000</v>
      </c>
      <c r="M136" s="15">
        <f t="shared" si="22"/>
        <v>-20937369.900000006</v>
      </c>
    </row>
    <row r="137" spans="2:7" ht="15">
      <c r="B137" t="s">
        <v>95</v>
      </c>
      <c r="G137" s="1"/>
    </row>
    <row r="138" spans="2:7" ht="15">
      <c r="B138" t="s">
        <v>94</v>
      </c>
      <c r="G138" s="1"/>
    </row>
    <row r="139" spans="2:13" ht="72" customHeight="1">
      <c r="B139" t="s">
        <v>122</v>
      </c>
      <c r="C139" s="15">
        <f>'[6]Лист1'!$C$107</f>
        <v>124502386</v>
      </c>
      <c r="D139" s="50" t="s">
        <v>121</v>
      </c>
      <c r="E139" s="50"/>
      <c r="F139" s="15">
        <f>'[6]Лист1'!$D$107</f>
        <v>17021615</v>
      </c>
      <c r="G139" s="50" t="s">
        <v>120</v>
      </c>
      <c r="H139" s="50"/>
      <c r="I139" s="51"/>
      <c r="K139" s="15">
        <f>'[6]Лист1'!$E$107</f>
        <v>7955448</v>
      </c>
      <c r="M139" s="15">
        <f>'[6]Лист1'!$F$107</f>
        <v>141524001</v>
      </c>
    </row>
    <row r="140" spans="2:13" ht="15">
      <c r="B140" t="s">
        <v>94</v>
      </c>
      <c r="C140" s="15">
        <f>C139-C100</f>
        <v>-3556395.6099999994</v>
      </c>
      <c r="D140" s="39"/>
      <c r="E140" s="39"/>
      <c r="F140" s="15">
        <f>F139-F100</f>
        <v>-23888854.08</v>
      </c>
      <c r="G140" s="51"/>
      <c r="H140" s="51"/>
      <c r="I140" s="51"/>
      <c r="K140" s="15">
        <f>K139-K100</f>
        <v>-6400179.800000001</v>
      </c>
      <c r="M140" s="15">
        <f>M139-M100</f>
        <v>-27445249.689999998</v>
      </c>
    </row>
    <row r="141" spans="2:13" ht="15">
      <c r="B141" t="s">
        <v>123</v>
      </c>
      <c r="C141" s="15">
        <f>'[7]Лист1'!C135</f>
        <v>125566555.41</v>
      </c>
      <c r="D141" s="15">
        <f>'[7]Лист1'!D135</f>
        <v>36384983</v>
      </c>
      <c r="E141" s="15">
        <f>'[7]Лист1'!E135</f>
        <v>4295614</v>
      </c>
      <c r="F141" s="15">
        <f>'[7]Лист1'!F135</f>
        <v>20543854.380000003</v>
      </c>
      <c r="G141" s="15">
        <f>'[7]Лист1'!G135</f>
        <v>6782571.43</v>
      </c>
      <c r="H141" s="15">
        <f>'[7]Лист1'!H135</f>
        <v>646136</v>
      </c>
      <c r="I141" s="15">
        <f>'[7]Лист1'!I135</f>
        <v>126407</v>
      </c>
      <c r="J141" s="15">
        <f>'[7]Лист1'!J135</f>
        <v>13761282.950000001</v>
      </c>
      <c r="K141" s="15">
        <f>'[7]Лист1'!K135</f>
        <v>10449870.8</v>
      </c>
      <c r="L141" s="15">
        <f>'[7]Лист1'!L135</f>
        <v>50000</v>
      </c>
      <c r="M141" s="15">
        <f>'[7]Лист1'!M135</f>
        <v>146110409.79</v>
      </c>
    </row>
    <row r="142" spans="2:13" ht="15">
      <c r="B142" t="s">
        <v>94</v>
      </c>
      <c r="C142" s="15">
        <f aca="true" t="shared" si="23" ref="C142:M142">C141-C100</f>
        <v>-2492226.200000003</v>
      </c>
      <c r="D142" s="15">
        <f t="shared" si="23"/>
        <v>-2514213</v>
      </c>
      <c r="E142" s="15">
        <f t="shared" si="23"/>
        <v>-464923.2400000002</v>
      </c>
      <c r="F142" s="15">
        <f t="shared" si="23"/>
        <v>-20366614.699999996</v>
      </c>
      <c r="G142" s="15">
        <f t="shared" si="23"/>
        <v>-15491434.280000001</v>
      </c>
      <c r="H142" s="15">
        <f t="shared" si="23"/>
        <v>0</v>
      </c>
      <c r="I142" s="15">
        <f t="shared" si="23"/>
        <v>0</v>
      </c>
      <c r="J142" s="15">
        <f t="shared" si="23"/>
        <v>-4875180.419999996</v>
      </c>
      <c r="K142" s="15">
        <f t="shared" si="23"/>
        <v>-3905757</v>
      </c>
      <c r="L142" s="15">
        <f t="shared" si="23"/>
        <v>31000</v>
      </c>
      <c r="M142" s="15">
        <f t="shared" si="23"/>
        <v>-22858840.900000006</v>
      </c>
    </row>
    <row r="143" spans="2:13" ht="15">
      <c r="B143" t="s">
        <v>95</v>
      </c>
      <c r="C143">
        <f>-2412200</f>
        <v>-2412200</v>
      </c>
      <c r="D143" s="39">
        <f>156035-1179651</f>
        <v>-1023616</v>
      </c>
      <c r="E143" s="39"/>
      <c r="F143">
        <f>295800</f>
        <v>295800</v>
      </c>
      <c r="G143" s="1"/>
      <c r="M143">
        <f>F143+C143</f>
        <v>-2116400</v>
      </c>
    </row>
    <row r="144" spans="2:7" ht="15">
      <c r="B144" t="s">
        <v>94</v>
      </c>
      <c r="D144" s="39"/>
      <c r="E144" s="39"/>
      <c r="G144" s="1"/>
    </row>
    <row r="145" spans="2:13" ht="84" customHeight="1">
      <c r="B145" t="s">
        <v>117</v>
      </c>
      <c r="C145" s="15">
        <f>'[3]Лист1'!$C$107</f>
        <v>126914586</v>
      </c>
      <c r="D145" s="50" t="s">
        <v>121</v>
      </c>
      <c r="E145" s="50"/>
      <c r="F145" s="15">
        <f>'[3]Лист1'!$D$107</f>
        <v>16727515</v>
      </c>
      <c r="G145" s="50" t="s">
        <v>120</v>
      </c>
      <c r="H145" s="50"/>
      <c r="I145" s="51"/>
      <c r="K145" s="15">
        <f>'[3]Лист1'!$E$107</f>
        <v>7955448</v>
      </c>
      <c r="M145" s="15">
        <f>'[3]Лист1'!$F$107</f>
        <v>143642101</v>
      </c>
    </row>
    <row r="146" spans="2:16" ht="15">
      <c r="B146" t="s">
        <v>94</v>
      </c>
      <c r="C146" s="15">
        <f>C145-C100</f>
        <v>-1144195.6099999994</v>
      </c>
      <c r="D146" s="39"/>
      <c r="E146" s="39"/>
      <c r="F146" s="15">
        <f>F145-F100</f>
        <v>-24182954.08</v>
      </c>
      <c r="G146" s="51"/>
      <c r="H146" s="51"/>
      <c r="I146" s="51"/>
      <c r="K146" s="15">
        <f>K145-K100</f>
        <v>-6400179.800000001</v>
      </c>
      <c r="M146" s="15">
        <f>M145-M100</f>
        <v>-25327149.689999998</v>
      </c>
      <c r="O146" s="15">
        <f>'[5]Лист1'!$F$21</f>
        <v>4584708.79</v>
      </c>
      <c r="P146" s="15">
        <f>M146+O146</f>
        <v>-20742440.9</v>
      </c>
    </row>
    <row r="147" spans="2:13" ht="15">
      <c r="B147" t="s">
        <v>118</v>
      </c>
      <c r="C147" s="15">
        <f>'[4]Лист1'!C134</f>
        <v>127978755.41</v>
      </c>
      <c r="D147" s="15">
        <f>'[4]Лист1'!D134</f>
        <v>37406134</v>
      </c>
      <c r="E147" s="15">
        <f>'[4]Лист1'!E134</f>
        <v>4301279</v>
      </c>
      <c r="F147" s="15">
        <f>'[4]Лист1'!F134</f>
        <v>20248054.380000003</v>
      </c>
      <c r="G147" s="15">
        <f>'[4]Лист1'!G134</f>
        <v>6687971.43</v>
      </c>
      <c r="H147" s="15">
        <f>'[4]Лист1'!H134</f>
        <v>646136</v>
      </c>
      <c r="I147" s="15">
        <f>'[4]Лист1'!I134</f>
        <v>126407</v>
      </c>
      <c r="J147" s="15">
        <f>'[4]Лист1'!J134</f>
        <v>13560082.95</v>
      </c>
      <c r="K147" s="15">
        <f>'[4]Лист1'!K134</f>
        <v>10449870.8</v>
      </c>
      <c r="L147" s="15">
        <f>'[4]Лист1'!L134</f>
        <v>50000</v>
      </c>
      <c r="M147" s="15">
        <f>'[4]Лист1'!M134</f>
        <v>148226809.79</v>
      </c>
    </row>
    <row r="148" spans="2:13" ht="15">
      <c r="B148" t="s">
        <v>94</v>
      </c>
      <c r="C148" s="15">
        <f aca="true" t="shared" si="24" ref="C148:M148">C147-C100</f>
        <v>-80026.20000000298</v>
      </c>
      <c r="D148" s="15">
        <f t="shared" si="24"/>
        <v>-1493062</v>
      </c>
      <c r="E148" s="15">
        <f t="shared" si="24"/>
        <v>-459258.2400000002</v>
      </c>
      <c r="F148" s="15">
        <f t="shared" si="24"/>
        <v>-20662414.699999996</v>
      </c>
      <c r="G148" s="15">
        <f t="shared" si="24"/>
        <v>-15586034.280000001</v>
      </c>
      <c r="H148" s="15">
        <f t="shared" si="24"/>
        <v>0</v>
      </c>
      <c r="I148" s="15">
        <f t="shared" si="24"/>
        <v>0</v>
      </c>
      <c r="J148" s="15">
        <f t="shared" si="24"/>
        <v>-5076380.419999998</v>
      </c>
      <c r="K148" s="15">
        <f t="shared" si="24"/>
        <v>-3905757</v>
      </c>
      <c r="L148" s="15">
        <f t="shared" si="24"/>
        <v>31000</v>
      </c>
      <c r="M148" s="15">
        <f t="shared" si="24"/>
        <v>-20742440.900000006</v>
      </c>
    </row>
    <row r="149" spans="2:13" ht="15">
      <c r="B149" t="s">
        <v>95</v>
      </c>
      <c r="C149">
        <f>642019+533400+1253217+243240.41+870929</f>
        <v>3542805.41</v>
      </c>
      <c r="D149" s="39">
        <f>255400+98800+37142+362764+140334+52755+27002+27335+28746</f>
        <v>1030278</v>
      </c>
      <c r="E149" s="39"/>
      <c r="F149">
        <f>3450850.7+19688.68+1936000+840500</f>
        <v>6247039.380000001</v>
      </c>
      <c r="G149" s="40">
        <f>63595.75+1936000+269000+19688.68</f>
        <v>2288284.43</v>
      </c>
      <c r="J149">
        <f>2444422.8+375379.8+567452.35+571500</f>
        <v>3958754.9499999997</v>
      </c>
      <c r="K149">
        <f>2444422.8</f>
        <v>2444422.8</v>
      </c>
      <c r="M149">
        <f>F149+C149</f>
        <v>9789844.790000001</v>
      </c>
    </row>
    <row r="150" spans="2:13" ht="15">
      <c r="B150" t="s">
        <v>94</v>
      </c>
      <c r="C150" s="15">
        <f>C155+C149</f>
        <v>-80026.19999999925</v>
      </c>
      <c r="D150" s="15">
        <f>D155+D149</f>
        <v>-1493062</v>
      </c>
      <c r="E150" s="39"/>
      <c r="F150" s="15">
        <f>F155+F149</f>
        <v>-20662414.699999996</v>
      </c>
      <c r="G150" s="15">
        <f>G155+G149</f>
        <v>-15586034.280000001</v>
      </c>
      <c r="J150" s="15">
        <f>J155+J149</f>
        <v>-5076380.419999998</v>
      </c>
      <c r="K150" s="15">
        <f>K155+K149</f>
        <v>-3905757.000000001</v>
      </c>
      <c r="M150" s="15">
        <f>M155+M149</f>
        <v>-20742440.9</v>
      </c>
    </row>
    <row r="151" spans="4:7" ht="15">
      <c r="D151" s="39"/>
      <c r="E151" s="39"/>
      <c r="G151" s="40"/>
    </row>
    <row r="152" spans="2:13" ht="38.25" customHeight="1">
      <c r="B152" t="s">
        <v>110</v>
      </c>
      <c r="C152" s="15">
        <f>'[10]Лист1'!$C$106</f>
        <v>15000</v>
      </c>
      <c r="D152" s="50" t="s">
        <v>116</v>
      </c>
      <c r="E152" s="50"/>
      <c r="F152" s="15" t="e">
        <f>'[10]Лист1'!$D$106</f>
        <v>#REF!</v>
      </c>
      <c r="G152" s="50" t="s">
        <v>115</v>
      </c>
      <c r="H152" s="50"/>
      <c r="I152" s="51"/>
      <c r="K152" s="15" t="e">
        <f>'[10]Лист1'!$E$106</f>
        <v>#REF!</v>
      </c>
      <c r="L152" s="52" t="s">
        <v>114</v>
      </c>
      <c r="M152" s="15" t="e">
        <f>'[10]Лист1'!$F$106</f>
        <v>#REF!</v>
      </c>
    </row>
    <row r="153" spans="2:16" ht="27.75" customHeight="1">
      <c r="B153" t="s">
        <v>94</v>
      </c>
      <c r="C153" s="15">
        <f>C152-C100</f>
        <v>-128043781.61</v>
      </c>
      <c r="D153" s="15">
        <f>C153-50000</f>
        <v>-128093781.61</v>
      </c>
      <c r="F153" s="15" t="e">
        <f>F152-F100</f>
        <v>#REF!</v>
      </c>
      <c r="G153" s="51"/>
      <c r="H153" s="51"/>
      <c r="I153" s="51"/>
      <c r="K153" s="15" t="e">
        <f>K152-K100</f>
        <v>#REF!</v>
      </c>
      <c r="L153" s="52"/>
      <c r="M153" s="15" t="e">
        <f>M152-M100</f>
        <v>#REF!</v>
      </c>
      <c r="O153" s="15">
        <f>'[2]Лист1'!$F$24</f>
        <v>0</v>
      </c>
      <c r="P153" s="15" t="e">
        <f>O153+M153</f>
        <v>#REF!</v>
      </c>
    </row>
    <row r="154" spans="2:13" ht="15">
      <c r="B154" t="s">
        <v>111</v>
      </c>
      <c r="C154" s="15">
        <f>'[1]Лист1'!C131</f>
        <v>124435950</v>
      </c>
      <c r="D154" s="15">
        <f>'[1]Лист1'!D131</f>
        <v>36375856</v>
      </c>
      <c r="E154" s="15">
        <f>'[1]Лист1'!E131</f>
        <v>4301279</v>
      </c>
      <c r="F154" s="15">
        <f>'[1]Лист1'!F131</f>
        <v>14001015</v>
      </c>
      <c r="G154" s="15">
        <f>'[1]Лист1'!G131</f>
        <v>4399687</v>
      </c>
      <c r="H154" s="15">
        <f>'[1]Лист1'!H131</f>
        <v>646136</v>
      </c>
      <c r="I154" s="15">
        <f>'[1]Лист1'!I131</f>
        <v>126407</v>
      </c>
      <c r="J154" s="15">
        <f>'[1]Лист1'!J131</f>
        <v>9601328</v>
      </c>
      <c r="K154" s="15">
        <f>'[1]Лист1'!K131</f>
        <v>8005448</v>
      </c>
      <c r="L154" s="15">
        <f>'[1]Лист1'!L131</f>
        <v>50000</v>
      </c>
      <c r="M154" s="15">
        <f>'[1]Лист1'!M131</f>
        <v>138436965</v>
      </c>
    </row>
    <row r="155" spans="2:13" ht="15">
      <c r="B155" t="s">
        <v>94</v>
      </c>
      <c r="C155" s="15">
        <f aca="true" t="shared" si="25" ref="C155:M155">C154-C100</f>
        <v>-3622831.6099999994</v>
      </c>
      <c r="D155" s="15">
        <f t="shared" si="25"/>
        <v>-2523340</v>
      </c>
      <c r="E155" s="15">
        <f t="shared" si="25"/>
        <v>-459258.2400000002</v>
      </c>
      <c r="F155" s="15">
        <f t="shared" si="25"/>
        <v>-26909454.08</v>
      </c>
      <c r="G155" s="15">
        <f t="shared" si="25"/>
        <v>-17874318.71</v>
      </c>
      <c r="H155" s="15">
        <f t="shared" si="25"/>
        <v>0</v>
      </c>
      <c r="I155" s="15">
        <f t="shared" si="25"/>
        <v>0</v>
      </c>
      <c r="J155" s="15">
        <f t="shared" si="25"/>
        <v>-9035135.369999997</v>
      </c>
      <c r="K155" s="15">
        <f t="shared" si="25"/>
        <v>-6350179.800000001</v>
      </c>
      <c r="L155" s="15">
        <f t="shared" si="25"/>
        <v>31000</v>
      </c>
      <c r="M155" s="15">
        <f t="shared" si="25"/>
        <v>-30532285.689999998</v>
      </c>
    </row>
    <row r="156" ht="15">
      <c r="B156" t="s">
        <v>95</v>
      </c>
    </row>
    <row r="157" ht="15">
      <c r="B157" t="s">
        <v>101</v>
      </c>
    </row>
    <row r="158" ht="15">
      <c r="B158" t="s">
        <v>104</v>
      </c>
    </row>
    <row r="159" spans="2:5" ht="15">
      <c r="B159" t="s">
        <v>105</v>
      </c>
      <c r="C159">
        <f>C158+C157</f>
        <v>0</v>
      </c>
      <c r="E159">
        <f>E158+E157</f>
        <v>0</v>
      </c>
    </row>
    <row r="160" spans="2:5" ht="15">
      <c r="B160" t="s">
        <v>94</v>
      </c>
      <c r="C160" s="15">
        <f>C159-C97</f>
        <v>-788285.96</v>
      </c>
      <c r="E160" s="15">
        <f>E159-E97</f>
        <v>0</v>
      </c>
    </row>
  </sheetData>
  <sheetProtection/>
  <mergeCells count="39">
    <mergeCell ref="G114:I115"/>
    <mergeCell ref="G104:I105"/>
    <mergeCell ref="M6:M9"/>
    <mergeCell ref="F7:F9"/>
    <mergeCell ref="H8:H9"/>
    <mergeCell ref="D7:E7"/>
    <mergeCell ref="J7:J9"/>
    <mergeCell ref="F6:L6"/>
    <mergeCell ref="K8:K9"/>
    <mergeCell ref="D8:D9"/>
    <mergeCell ref="J2:M2"/>
    <mergeCell ref="A4:M4"/>
    <mergeCell ref="C6:E6"/>
    <mergeCell ref="I8:I9"/>
    <mergeCell ref="G7:G9"/>
    <mergeCell ref="H7:I7"/>
    <mergeCell ref="E8:E9"/>
    <mergeCell ref="C7:C9"/>
    <mergeCell ref="A3:M3"/>
    <mergeCell ref="K7:L7"/>
    <mergeCell ref="A6:A9"/>
    <mergeCell ref="B6:B9"/>
    <mergeCell ref="A100:B100"/>
    <mergeCell ref="D152:E152"/>
    <mergeCell ref="D145:E145"/>
    <mergeCell ref="D139:E139"/>
    <mergeCell ref="D120:E120"/>
    <mergeCell ref="D104:E104"/>
    <mergeCell ref="D114:E114"/>
    <mergeCell ref="G139:I140"/>
    <mergeCell ref="L152:L153"/>
    <mergeCell ref="G152:I153"/>
    <mergeCell ref="D102:E102"/>
    <mergeCell ref="G145:I146"/>
    <mergeCell ref="D133:E133"/>
    <mergeCell ref="G133:I134"/>
    <mergeCell ref="D126:E126"/>
    <mergeCell ref="G126:I127"/>
    <mergeCell ref="G120:I121"/>
  </mergeCells>
  <printOptions/>
  <pageMargins left="0.11811023622047245" right="0" top="0.1968503937007874" bottom="0.3937007874015748" header="0" footer="0"/>
  <pageSetup horizontalDpi="600" verticalDpi="600" orientation="landscape" paperSize="9" scale="68"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1</cp:lastModifiedBy>
  <cp:lastPrinted>2015-01-12T16:33:22Z</cp:lastPrinted>
  <dcterms:created xsi:type="dcterms:W3CDTF">2010-04-28T10:22:23Z</dcterms:created>
  <dcterms:modified xsi:type="dcterms:W3CDTF">2015-01-12T17:17:50Z</dcterms:modified>
  <cp:category/>
  <cp:version/>
  <cp:contentType/>
  <cp:contentStatus/>
</cp:coreProperties>
</file>