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'Лист1'!$A$1:$M$104</definedName>
  </definedNames>
  <calcPr fullCalcOnLoad="1"/>
</workbook>
</file>

<file path=xl/sharedStrings.xml><?xml version="1.0" encoding="utf-8"?>
<sst xmlns="http://schemas.openxmlformats.org/spreadsheetml/2006/main" count="118" uniqueCount="112">
  <si>
    <t>Додаток 2</t>
  </si>
  <si>
    <t>грн.</t>
  </si>
  <si>
    <t>Код КТКВ</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</si>
  <si>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</si>
  <si>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</si>
  <si>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</si>
  <si>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</si>
  <si>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</si>
  <si>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</si>
  <si>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</si>
  <si>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</si>
  <si>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</si>
  <si>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Державне управлiння</t>
  </si>
  <si>
    <t>Органи мiсцевого самоврядування</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</si>
  <si>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</si>
  <si>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</si>
  <si>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</si>
  <si>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</si>
  <si>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</si>
  <si>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</si>
  <si>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</si>
  <si>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</si>
  <si>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Соцiальний захист та соцiальне забезпечення</t>
  </si>
  <si>
    <t>Iншi видатки на соціальний захист населення</t>
  </si>
  <si>
    <t>Утримання центрiв соцiальних служб для сім`ї, дітей та молоді</t>
  </si>
  <si>
    <t>Програми i заходи центрiв соцiальних служб для сім`ї, дітей та  молодi</t>
  </si>
  <si>
    <t>Соціальні програми i заходи державних органiв у справах молоді</t>
  </si>
  <si>
    <t>Iншi видатки</t>
  </si>
  <si>
    <t>Житлово-комунальне господарство</t>
  </si>
  <si>
    <t>Благоустрiй мiст, сіл, селищ</t>
  </si>
  <si>
    <t>Культура i мистецтво</t>
  </si>
  <si>
    <t>Бiблiотеки</t>
  </si>
  <si>
    <t>Музеї i виставки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</si>
  <si>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</si>
  <si>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</si>
  <si>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</si>
  <si>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Засоби масової iнформацiї</t>
  </si>
  <si>
    <t>Телебачення i радiомовлення</t>
  </si>
  <si>
    <t>Перiодичнi видання (газети та журнали)</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</si>
  <si>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</si>
  <si>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</si>
  <si>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</si>
  <si>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Коменсаційні виплати на пільговий проїзд автомобільним транспортом окремим категоріям громодян</t>
  </si>
  <si>
    <t>Запобігання та лiквiдацiя надзвичайних ситуацiй та наслiдкiв стихiйного лиха</t>
  </si>
  <si>
    <t>Заходи з організації рятування на водах</t>
  </si>
  <si>
    <t>Цiльовi фонди</t>
  </si>
  <si>
    <t>Охорона та раціональне використання природних ресурсів</t>
  </si>
  <si>
    <t>Видатки, не вiднесенi до основних груп</t>
  </si>
  <si>
    <t>Резервний фонд</t>
  </si>
  <si>
    <t>Іншi видатки</t>
  </si>
  <si>
    <t>Між бюджетні трансферти</t>
  </si>
  <si>
    <t>Субвенції</t>
  </si>
  <si>
    <t>Секретар міської ради</t>
  </si>
  <si>
    <t>О.Д.Степанишин</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</si>
  <si>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</si>
  <si>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ВСЬОГО ВИДАТКІВ</t>
  </si>
  <si>
    <t>РАЗОМ ВИДАТКІВ</t>
  </si>
  <si>
    <t>Дитячi будинки (в т.ч. сiмейного типу, прийомнi сiм`ї)</t>
  </si>
  <si>
    <t>Пільги на медичне обслуговування громадянам, які постраждали внаслідок Чорнобильської катастрофи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</si>
  <si>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</si>
  <si>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Допомога на догляд за інвалідом I чи II групи внаслідок психічного розладу</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</si>
  <si>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</si>
  <si>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</si>
  <si>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</si>
  <si>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</si>
  <si>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</si>
  <si>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</si>
  <si>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</si>
  <si>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</si>
  <si>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Пільги багатодітним сім"ям на житлово-комунальні послуги</t>
  </si>
  <si>
    <t>Утилізація відходів</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</si>
  <si>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</si>
  <si>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</si>
  <si>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</si>
  <si>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</si>
  <si>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Компенсацiйнi виплати за пiльговий проїзд окремих категорiй громадян на залізничному транспорті</t>
  </si>
  <si>
    <t>Пільги окремим категоріям громадян з послуг зв"язку</t>
  </si>
  <si>
    <t>бюджет розвитку</t>
  </si>
  <si>
    <t>капітальні видатки за рахунок коштів, що передаються із загального фонду до бюджету розвитку (спеціальний фонд)</t>
  </si>
  <si>
    <t>за тимчасовою класифікацією видатків та кредитування місцевих бюджетів</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</si>
  <si>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</si>
  <si>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</si>
  <si>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</si>
  <si>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</si>
  <si>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</si>
  <si>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</si>
  <si>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</si>
  <si>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</si>
  <si>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</si>
  <si>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Центри соціальної реабілітації дітей - інвалідів</t>
  </si>
  <si>
    <t>Субвенція на проведення видатків місцевих бюджетів, що враховуються при визначенні міжбюджетних трансфертів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</si>
  <si>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</si>
  <si>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</si>
  <si>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</si>
  <si>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</si>
  <si>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Інші програми соціального захисту дітей</t>
  </si>
  <si>
    <t>Територiальнi центри  соцiального обслуговування (надання соціальних послуг)</t>
  </si>
  <si>
    <t>Видатки бюджету міста Старокостянтинова на 2013 рік</t>
  </si>
  <si>
    <t>Найменуваннякоду тимчасової класифікації видатків та кредитування місцевих бюджетів</t>
  </si>
  <si>
    <t>Видатки на проведення робіт, пов`язаних з будiвництвом, реконструкцiєю, ремонтом i утриманням автомобiльних дорiг - одержувач комунальне ремонтно- будівельне шляхове підприємство</t>
  </si>
  <si>
    <t>Видатки на покриття інших заборгованостей, що виникли в попередні роки</t>
  </si>
  <si>
    <t>Водопровідно - каналізаційне господарство</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</si>
  <si>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</si>
  <si>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капітали суб"єктів підприємницької дяльності</t>
  </si>
  <si>
    <t>Розробка схем та проектних рішень масового застосування</t>
  </si>
  <si>
    <t>Заходи у сфері захисту населення і територій від надзвичайних ситуацій техногенного та природного характеру</t>
  </si>
  <si>
    <t>Субвенція з місцевого бюджету державному бюджету на виконання програм соціального -економічного та культурного розвитку регіонів</t>
  </si>
  <si>
    <t>Капітальний ремонт житлового фонду місцевих органів влади</t>
  </si>
  <si>
    <t>Видатки на проведення робіт, пов`язаних з будiвництвом, реконструкцiєю, ремонтом i утриманням автомобiльних дорiг- субвенція з державного бюджету</t>
  </si>
  <si>
    <t>Видатки на проведення робіт, пов`язаних з будiвництвом, реконструкцiєю, ремонтом i утриманням автомобiльних дорiг- субвенція з обласного бюджету</t>
  </si>
  <si>
    <t>Видатки на запобігання та ліквідацію надзвичайних ситуацій та наслідків стихійного лиха</t>
  </si>
  <si>
    <t>до  рішення 31 сесії міської ради від 30.05.2013р. № 5 "Про внесення змін до бюджету міста на 2013 рік"</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</si>
</sst>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27">
    <font>
      <sz val="11"/>
      <color indexed="8"/>
      <name val="Calibri"/>
      <family val="2"/>
    </font>
    <font>
      <b/>
      <sz val="11"/>
      <color indexed="8"/>
      <name val="Calibri"/>
      <family val="2"/>
    </font>
    <font>
      <b/>
      <sz val="11"/>
      <color indexed="8"/>
      <name val="Arial"/>
      <family val="2"/>
    </font>
    <font>
      <sz val="11"/>
      <color indexed="8"/>
      <name val="Arial"/>
      <family val="2"/>
    </font>
    <font>
      <sz val="10"/>
      <color indexed="8"/>
      <name val="Arial"/>
      <family val="2"/>
    </font>
    <font>
      <b/>
      <sz val="11"/>
      <name val="Arial"/>
      <family val="2"/>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Arial"/>
      <family val="2"/>
    </font>
    <font>
      <sz val="11"/>
      <name val="Calibri"/>
      <family val="2"/>
    </font>
    <font>
      <u val="single"/>
      <sz val="7.8"/>
      <color indexed="12"/>
      <name val="Calibri"/>
      <family val="2"/>
    </font>
    <font>
      <u val="single"/>
      <sz val="7.8"/>
      <color indexed="36"/>
      <name val="Calibri"/>
      <family val="2"/>
    </font>
    <font>
      <sz val="9"/>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2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25"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57">
    <xf numFmtId="0" fontId="0" fillId="0" borderId="0" xfId="0" applyAlignment="1">
      <alignment/>
    </xf>
    <xf numFmtId="0" fontId="1" fillId="0" borderId="0" xfId="0" applyFont="1" applyAlignment="1">
      <alignment horizontal="left"/>
    </xf>
    <xf numFmtId="0" fontId="0" fillId="0" borderId="0" xfId="0" applyFill="1" applyAlignment="1">
      <alignment/>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right"/>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vertical="top" wrapText="1"/>
    </xf>
    <xf numFmtId="2" fontId="2"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2" fontId="0" fillId="0" borderId="0" xfId="0" applyNumberFormat="1" applyAlignment="1">
      <alignment/>
    </xf>
    <xf numFmtId="0" fontId="3" fillId="0" borderId="10" xfId="0" applyFont="1" applyBorder="1" applyAlignment="1">
      <alignment vertical="top" wrapText="1"/>
    </xf>
    <xf numFmtId="2" fontId="3" fillId="0" borderId="10" xfId="0" applyNumberFormat="1" applyFont="1" applyFill="1" applyBorder="1" applyAlignment="1">
      <alignment horizontal="right" vertical="center"/>
    </xf>
    <xf numFmtId="0" fontId="2" fillId="0" borderId="10" xfId="0" applyFont="1" applyFill="1" applyBorder="1" applyAlignment="1">
      <alignment vertical="top" wrapText="1"/>
    </xf>
    <xf numFmtId="2" fontId="22" fillId="0" borderId="10" xfId="0" applyNumberFormat="1" applyFont="1" applyFill="1" applyBorder="1" applyAlignment="1">
      <alignment horizontal="center" vertical="center"/>
    </xf>
    <xf numFmtId="0" fontId="20" fillId="0" borderId="0" xfId="0" applyFont="1" applyAlignment="1">
      <alignment/>
    </xf>
    <xf numFmtId="0" fontId="6" fillId="0" borderId="10" xfId="0" applyFont="1" applyFill="1" applyBorder="1" applyAlignment="1">
      <alignment vertical="top" wrapText="1"/>
    </xf>
    <xf numFmtId="0" fontId="6" fillId="0" borderId="10" xfId="0" applyFont="1" applyFill="1" applyBorder="1" applyAlignment="1">
      <alignment vertical="center"/>
    </xf>
    <xf numFmtId="2" fontId="6" fillId="0" borderId="10" xfId="0" applyNumberFormat="1" applyFont="1" applyFill="1" applyBorder="1" applyAlignment="1">
      <alignment horizontal="center" vertical="center"/>
    </xf>
    <xf numFmtId="0" fontId="23" fillId="0" borderId="0" xfId="0" applyFont="1" applyAlignment="1">
      <alignment/>
    </xf>
    <xf numFmtId="2" fontId="3" fillId="0" borderId="10" xfId="0" applyNumberFormat="1" applyFont="1" applyFill="1" applyBorder="1" applyAlignment="1">
      <alignment horizontal="center" vertical="top"/>
    </xf>
    <xf numFmtId="0" fontId="5" fillId="0" borderId="10" xfId="0" applyFont="1" applyFill="1" applyBorder="1" applyAlignment="1">
      <alignment vertical="center"/>
    </xf>
    <xf numFmtId="0" fontId="5" fillId="0" borderId="10" xfId="0" applyFont="1" applyFill="1" applyBorder="1" applyAlignment="1">
      <alignment vertical="top" wrapText="1"/>
    </xf>
    <xf numFmtId="2" fontId="5" fillId="0" borderId="10" xfId="0" applyNumberFormat="1" applyFont="1" applyFill="1" applyBorder="1" applyAlignment="1">
      <alignment horizontal="center" vertical="center"/>
    </xf>
    <xf numFmtId="2" fontId="2" fillId="0" borderId="10" xfId="0" applyNumberFormat="1" applyFont="1" applyFill="1" applyBorder="1" applyAlignment="1">
      <alignment horizontal="right" vertical="top"/>
    </xf>
    <xf numFmtId="0" fontId="3" fillId="0" borderId="11" xfId="0" applyFont="1" applyFill="1" applyBorder="1" applyAlignment="1">
      <alignment vertical="center"/>
    </xf>
    <xf numFmtId="2" fontId="3" fillId="0" borderId="10" xfId="0" applyNumberFormat="1" applyFont="1" applyFill="1" applyBorder="1" applyAlignment="1">
      <alignment horizontal="right" vertical="top"/>
    </xf>
    <xf numFmtId="0" fontId="3" fillId="0" borderId="10" xfId="0" applyFont="1" applyFill="1" applyBorder="1" applyAlignment="1">
      <alignment vertical="top"/>
    </xf>
    <xf numFmtId="0" fontId="6" fillId="0" borderId="10"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0" xfId="0" applyFont="1" applyAlignment="1">
      <alignment vertical="top" wrapText="1"/>
    </xf>
    <xf numFmtId="0" fontId="6" fillId="0" borderId="10" xfId="0" applyFont="1" applyFill="1" applyBorder="1" applyAlignment="1">
      <alignment horizontal="center" wrapText="1"/>
    </xf>
    <xf numFmtId="0" fontId="6" fillId="0" borderId="1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0" xfId="0" applyFill="1" applyAlignment="1">
      <alignment vertical="top" wrapText="1"/>
    </xf>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horizont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11" xfId="0" applyFont="1" applyFill="1" applyBorder="1" applyAlignment="1">
      <alignment horizontal="center" vertical="center"/>
    </xf>
    <xf numFmtId="0" fontId="3" fillId="0" borderId="12" xfId="0" applyFont="1" applyBorder="1" applyAlignment="1">
      <alignment horizontal="center" vertical="center"/>
    </xf>
    <xf numFmtId="0" fontId="0" fillId="0" borderId="0" xfId="0" applyAlignment="1">
      <alignment vertical="top" wrapText="1"/>
    </xf>
    <xf numFmtId="0" fontId="0" fillId="0" borderId="0" xfId="0" applyAlignment="1">
      <alignment vertical="top"/>
    </xf>
    <xf numFmtId="0" fontId="26" fillId="0" borderId="0" xfId="0" applyFont="1" applyAlignment="1">
      <alignment vertical="top" wrapText="1"/>
    </xf>
    <xf numFmtId="0" fontId="2" fillId="0" borderId="11" xfId="0" applyFont="1" applyFill="1" applyBorder="1" applyAlignment="1">
      <alignment vertical="center"/>
    </xf>
    <xf numFmtId="0" fontId="0" fillId="0" borderId="12" xfId="0" applyBorder="1" applyAlignment="1">
      <alignmen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4"/>
  <sheetViews>
    <sheetView tabSelected="1" zoomScale="71" zoomScaleNormal="71" zoomScalePageLayoutView="0" workbookViewId="0" topLeftCell="A1">
      <pane xSplit="2" ySplit="10" topLeftCell="C11" activePane="bottomRight" state="frozen"/>
      <selection pane="topLeft" activeCell="A1" sqref="A1"/>
      <selection pane="topRight" activeCell="C1" sqref="C1"/>
      <selection pane="bottomLeft" activeCell="A14" sqref="A14"/>
      <selection pane="bottomRight" activeCell="P6" sqref="P6"/>
    </sheetView>
  </sheetViews>
  <sheetFormatPr defaultColWidth="9.140625" defaultRowHeight="15"/>
  <cols>
    <col min="1" max="1" width="9.28125" style="0" bestFit="1" customWidth="1"/>
    <col min="2" max="2" width="36.8515625" style="0" customWidth="1"/>
    <col min="3" max="3" width="17.28125" style="0" bestFit="1" customWidth="1"/>
    <col min="4" max="4" width="14.28125" style="0" bestFit="1" customWidth="1"/>
    <col min="5" max="5" width="13.57421875" style="0" customWidth="1"/>
    <col min="6" max="6" width="14.140625" style="0" customWidth="1"/>
    <col min="7" max="7" width="14.7109375" style="0" customWidth="1"/>
    <col min="8" max="8" width="13.140625" style="0" customWidth="1"/>
    <col min="9" max="9" width="11.8515625" style="0" customWidth="1"/>
    <col min="10" max="10" width="14.140625" style="0" customWidth="1"/>
    <col min="11" max="11" width="12.8515625" style="0" bestFit="1" customWidth="1"/>
    <col min="12" max="12" width="15.8515625" style="0" bestFit="1" customWidth="1"/>
    <col min="13" max="13" width="15.421875" style="0" bestFit="1" customWidth="1"/>
  </cols>
  <sheetData>
    <row r="1" spans="1:13" ht="15">
      <c r="A1" s="2"/>
      <c r="B1" s="2"/>
      <c r="C1" s="2"/>
      <c r="D1" s="2"/>
      <c r="E1" s="2"/>
      <c r="F1" s="2"/>
      <c r="G1" s="2"/>
      <c r="H1" s="2"/>
      <c r="I1" s="2"/>
      <c r="J1" s="2" t="s">
        <v>0</v>
      </c>
      <c r="K1" s="2"/>
      <c r="L1" s="2"/>
      <c r="M1" s="2"/>
    </row>
    <row r="2" spans="1:13" ht="31.5" customHeight="1">
      <c r="A2" s="2"/>
      <c r="B2" s="2"/>
      <c r="C2" s="2"/>
      <c r="D2" s="2"/>
      <c r="E2" s="2"/>
      <c r="F2" s="2"/>
      <c r="G2" s="2"/>
      <c r="H2" s="2"/>
      <c r="I2" s="2"/>
      <c r="J2" s="44" t="s">
        <v>111</v>
      </c>
      <c r="K2" s="44"/>
      <c r="L2" s="44"/>
      <c r="M2" s="45"/>
    </row>
    <row r="3" spans="1:13" ht="15">
      <c r="A3" s="46" t="s">
        <v>97</v>
      </c>
      <c r="B3" s="47"/>
      <c r="C3" s="47"/>
      <c r="D3" s="47"/>
      <c r="E3" s="47"/>
      <c r="F3" s="47"/>
      <c r="G3" s="47"/>
      <c r="H3" s="47"/>
      <c r="I3" s="47"/>
      <c r="J3" s="47"/>
      <c r="K3" s="47"/>
      <c r="L3" s="47"/>
      <c r="M3" s="47"/>
    </row>
    <row r="4" spans="1:13" ht="18" customHeight="1">
      <c r="A4" s="46" t="s">
        <v>79</v>
      </c>
      <c r="B4" s="47"/>
      <c r="C4" s="47"/>
      <c r="D4" s="47"/>
      <c r="E4" s="47"/>
      <c r="F4" s="47"/>
      <c r="G4" s="47"/>
      <c r="H4" s="47"/>
      <c r="I4" s="47"/>
      <c r="J4" s="47"/>
      <c r="K4" s="47"/>
      <c r="L4" s="47"/>
      <c r="M4" s="47"/>
    </row>
    <row r="5" spans="1:13" ht="15">
      <c r="A5" s="4"/>
      <c r="B5" s="4"/>
      <c r="C5" s="4"/>
      <c r="D5" s="4"/>
      <c r="E5" s="4"/>
      <c r="F5" s="4"/>
      <c r="G5" s="4"/>
      <c r="H5" s="4"/>
      <c r="I5" s="4"/>
      <c r="J5" s="4"/>
      <c r="K5" s="4"/>
      <c r="L5" s="4"/>
      <c r="M5" s="5" t="s">
        <v>1</v>
      </c>
    </row>
    <row r="6" spans="1:13" ht="15">
      <c r="A6" s="40" t="s">
        <v>2</v>
      </c>
      <c r="B6" s="40" t="s">
        <v>98</v>
      </c>
      <c r="C6" s="39" t="s">
        <v>3</v>
      </c>
      <c r="D6" s="39"/>
      <c r="E6" s="39"/>
      <c r="F6" s="39" t="s">
        <v>10</v>
      </c>
      <c r="G6" s="39"/>
      <c r="H6" s="39"/>
      <c r="I6" s="39"/>
      <c r="J6" s="39"/>
      <c r="K6" s="39"/>
      <c r="L6" s="39"/>
      <c r="M6" s="39" t="s">
        <v>11</v>
      </c>
    </row>
    <row r="7" spans="1:13" ht="15">
      <c r="A7" s="40"/>
      <c r="B7" s="40"/>
      <c r="C7" s="40" t="s">
        <v>4</v>
      </c>
      <c r="D7" s="41" t="s">
        <v>6</v>
      </c>
      <c r="E7" s="41"/>
      <c r="F7" s="40" t="s">
        <v>4</v>
      </c>
      <c r="G7" s="41" t="s">
        <v>5</v>
      </c>
      <c r="H7" s="41" t="s">
        <v>6</v>
      </c>
      <c r="I7" s="41"/>
      <c r="J7" s="41" t="s">
        <v>9</v>
      </c>
      <c r="K7" s="48" t="s">
        <v>6</v>
      </c>
      <c r="L7" s="49"/>
      <c r="M7" s="39"/>
    </row>
    <row r="8" spans="1:13" ht="25.5" customHeight="1">
      <c r="A8" s="40"/>
      <c r="B8" s="40"/>
      <c r="C8" s="40"/>
      <c r="D8" s="41" t="s">
        <v>7</v>
      </c>
      <c r="E8" s="41" t="s">
        <v>8</v>
      </c>
      <c r="F8" s="40"/>
      <c r="G8" s="41"/>
      <c r="H8" s="41" t="s">
        <v>7</v>
      </c>
      <c r="I8" s="41" t="s">
        <v>8</v>
      </c>
      <c r="J8" s="41"/>
      <c r="K8" s="42" t="s">
        <v>77</v>
      </c>
      <c r="L8" s="7" t="s">
        <v>6</v>
      </c>
      <c r="M8" s="39"/>
    </row>
    <row r="9" spans="1:13" ht="148.5" customHeight="1">
      <c r="A9" s="40"/>
      <c r="B9" s="40"/>
      <c r="C9" s="40"/>
      <c r="D9" s="41"/>
      <c r="E9" s="41"/>
      <c r="F9" s="40"/>
      <c r="G9" s="41"/>
      <c r="H9" s="41"/>
      <c r="I9" s="41"/>
      <c r="J9" s="41"/>
      <c r="K9" s="43"/>
      <c r="L9" s="7" t="s">
        <v>78</v>
      </c>
      <c r="M9" s="39"/>
    </row>
    <row r="10" spans="1:13" ht="15">
      <c r="A10" s="6">
        <v>1</v>
      </c>
      <c r="B10" s="6">
        <v>2</v>
      </c>
      <c r="C10" s="6">
        <v>3</v>
      </c>
      <c r="D10" s="6">
        <v>4</v>
      </c>
      <c r="E10" s="6">
        <v>5</v>
      </c>
      <c r="F10" s="6">
        <v>6</v>
      </c>
      <c r="G10" s="6">
        <v>7</v>
      </c>
      <c r="H10" s="6">
        <v>8</v>
      </c>
      <c r="I10" s="6">
        <v>9</v>
      </c>
      <c r="J10" s="6">
        <v>10</v>
      </c>
      <c r="K10" s="6">
        <v>11</v>
      </c>
      <c r="L10" s="6">
        <v>12</v>
      </c>
      <c r="M10" s="6">
        <v>13</v>
      </c>
    </row>
    <row r="11" spans="1:13" ht="15">
      <c r="A11" s="8">
        <v>10000</v>
      </c>
      <c r="B11" s="18" t="s">
        <v>12</v>
      </c>
      <c r="C11" s="13">
        <f aca="true" t="shared" si="0" ref="C11:L11">C12</f>
        <v>4131138.7799999993</v>
      </c>
      <c r="D11" s="13">
        <f t="shared" si="0"/>
        <v>2740619</v>
      </c>
      <c r="E11" s="13">
        <f t="shared" si="0"/>
        <v>153445</v>
      </c>
      <c r="F11" s="13">
        <f t="shared" si="0"/>
        <v>683465.53</v>
      </c>
      <c r="G11" s="13">
        <f t="shared" si="0"/>
        <v>0</v>
      </c>
      <c r="H11" s="13">
        <f t="shared" si="0"/>
        <v>0</v>
      </c>
      <c r="I11" s="13">
        <f>I12</f>
        <v>0</v>
      </c>
      <c r="J11" s="13">
        <f t="shared" si="0"/>
        <v>683465.53</v>
      </c>
      <c r="K11" s="13">
        <f t="shared" si="0"/>
        <v>652745.53</v>
      </c>
      <c r="L11" s="13">
        <f t="shared" si="0"/>
        <v>0</v>
      </c>
      <c r="M11" s="13">
        <f aca="true" t="shared" si="1" ref="M11:M40">C11+F11</f>
        <v>4814604.31</v>
      </c>
    </row>
    <row r="12" spans="1:13" ht="15">
      <c r="A12" s="10">
        <v>10116</v>
      </c>
      <c r="B12" s="12" t="s">
        <v>13</v>
      </c>
      <c r="C12" s="14">
        <f>3102500-1354.21-2209.49+1321.92+22000+108955.22+142.34+1085500+5080+94510-285307</f>
        <v>4131138.7799999993</v>
      </c>
      <c r="D12" s="14">
        <f>2137277+16142+510300+78200+208000-209300</f>
        <v>2740619</v>
      </c>
      <c r="E12" s="14">
        <f>96640+44500+5000+4425+2700+180</f>
        <v>153445</v>
      </c>
      <c r="F12" s="14">
        <f>G12+J12</f>
        <v>683465.53</v>
      </c>
      <c r="G12" s="14"/>
      <c r="H12" s="14"/>
      <c r="I12" s="14"/>
      <c r="J12" s="14">
        <f>30720+35327.53+27200+300006.11-42923.11+303135+30000</f>
        <v>683465.53</v>
      </c>
      <c r="K12" s="14">
        <f>21900+13427.53+27200+300006.11-42923.11+303135+30000</f>
        <v>652745.53</v>
      </c>
      <c r="L12" s="14"/>
      <c r="M12" s="14">
        <f t="shared" si="1"/>
        <v>4814604.31</v>
      </c>
    </row>
    <row r="13" spans="1:13" ht="15">
      <c r="A13" s="8">
        <v>70000</v>
      </c>
      <c r="B13" s="18" t="s">
        <v>14</v>
      </c>
      <c r="C13" s="13">
        <f>SUM(C14:C21)</f>
        <v>40331755.02</v>
      </c>
      <c r="D13" s="13">
        <f>SUM(D14:D21)</f>
        <v>25757713</v>
      </c>
      <c r="E13" s="13">
        <f>SUM(E14:E21)</f>
        <v>4164317.5800000005</v>
      </c>
      <c r="F13" s="13">
        <f>G13+J13</f>
        <v>2585338.04</v>
      </c>
      <c r="G13" s="13">
        <f aca="true" t="shared" si="2" ref="G13:L13">SUM(G14:G21)</f>
        <v>2149159</v>
      </c>
      <c r="H13" s="13">
        <f t="shared" si="2"/>
        <v>412695</v>
      </c>
      <c r="I13" s="13">
        <f t="shared" si="2"/>
        <v>135750</v>
      </c>
      <c r="J13" s="13">
        <f t="shared" si="2"/>
        <v>436179.0399999999</v>
      </c>
      <c r="K13" s="13">
        <f t="shared" si="2"/>
        <v>377139.0399999999</v>
      </c>
      <c r="L13" s="13">
        <f t="shared" si="2"/>
        <v>0</v>
      </c>
      <c r="M13" s="13">
        <f t="shared" si="1"/>
        <v>42917093.06</v>
      </c>
    </row>
    <row r="14" spans="1:13" ht="15">
      <c r="A14" s="10">
        <v>70101</v>
      </c>
      <c r="B14" s="12" t="s">
        <v>15</v>
      </c>
      <c r="C14" s="14">
        <f>12928258-743817.51+60000</f>
        <v>12244440.49</v>
      </c>
      <c r="D14" s="14">
        <f>7653998-471500</f>
        <v>7182498</v>
      </c>
      <c r="E14" s="14">
        <f>1261880-372122.15+197590+452500+31105</f>
        <v>1570952.85</v>
      </c>
      <c r="F14" s="14">
        <f aca="true" t="shared" si="3" ref="F14:F74">G14+J14</f>
        <v>1534076.8399999999</v>
      </c>
      <c r="G14" s="17">
        <f>1219831</f>
        <v>1219831</v>
      </c>
      <c r="H14" s="17">
        <f>42620</f>
        <v>42620</v>
      </c>
      <c r="I14" s="17"/>
      <c r="J14" s="14">
        <f>9020+55225.84+200000+50000</f>
        <v>314245.83999999997</v>
      </c>
      <c r="K14" s="14">
        <f>55225.84+200000+50000</f>
        <v>305225.83999999997</v>
      </c>
      <c r="L14" s="14"/>
      <c r="M14" s="14">
        <f t="shared" si="1"/>
        <v>13778517.33</v>
      </c>
    </row>
    <row r="15" spans="1:13" ht="57">
      <c r="A15" s="10">
        <v>70201</v>
      </c>
      <c r="B15" s="12" t="s">
        <v>16</v>
      </c>
      <c r="C15" s="14">
        <f>25604248-1096765.9-730-23072-48210-87260-50000</f>
        <v>24298210.1</v>
      </c>
      <c r="D15" s="14">
        <f>16728331-581000</f>
        <v>16147331</v>
      </c>
      <c r="E15" s="14">
        <f>1959554-500403.97+451304+551000+33176</f>
        <v>2494630.0300000003</v>
      </c>
      <c r="F15" s="14">
        <f t="shared" si="3"/>
        <v>461268.19999999995</v>
      </c>
      <c r="G15" s="14">
        <f>367340</f>
        <v>367340</v>
      </c>
      <c r="H15" s="14">
        <f>53250</f>
        <v>53250</v>
      </c>
      <c r="I15" s="14">
        <f>129000</f>
        <v>129000</v>
      </c>
      <c r="J15" s="14">
        <f>22015+12448.2+853600-100000-391000-303135</f>
        <v>93928.19999999995</v>
      </c>
      <c r="K15" s="14">
        <f>12448.2+853600-100000-391000-303135</f>
        <v>71913.19999999995</v>
      </c>
      <c r="L15" s="14"/>
      <c r="M15" s="14">
        <f t="shared" si="1"/>
        <v>24759478.3</v>
      </c>
    </row>
    <row r="16" spans="1:14" ht="28.5">
      <c r="A16" s="10">
        <v>70303</v>
      </c>
      <c r="B16" s="12" t="s">
        <v>57</v>
      </c>
      <c r="C16" s="14">
        <f>281238</f>
        <v>281238</v>
      </c>
      <c r="D16" s="14"/>
      <c r="E16" s="14"/>
      <c r="F16" s="14">
        <f t="shared" si="3"/>
        <v>0</v>
      </c>
      <c r="G16" s="14"/>
      <c r="H16" s="14"/>
      <c r="I16" s="14"/>
      <c r="J16" s="14"/>
      <c r="K16" s="14"/>
      <c r="L16" s="14"/>
      <c r="M16" s="14">
        <f t="shared" si="1"/>
        <v>281238</v>
      </c>
      <c r="N16" s="15"/>
    </row>
    <row r="17" spans="1:13" ht="28.5">
      <c r="A17" s="10">
        <v>70401</v>
      </c>
      <c r="B17" s="12" t="s">
        <v>17</v>
      </c>
      <c r="C17" s="14">
        <f>973157-2720.21+90000</f>
        <v>1060436.79</v>
      </c>
      <c r="D17" s="14">
        <f>727733</f>
        <v>727733</v>
      </c>
      <c r="E17" s="14">
        <f>841+6</f>
        <v>847</v>
      </c>
      <c r="F17" s="14">
        <f t="shared" si="3"/>
        <v>0</v>
      </c>
      <c r="G17" s="14"/>
      <c r="H17" s="14"/>
      <c r="I17" s="14"/>
      <c r="J17" s="14"/>
      <c r="K17" s="14"/>
      <c r="L17" s="14"/>
      <c r="M17" s="14">
        <f t="shared" si="1"/>
        <v>1060436.79</v>
      </c>
    </row>
    <row r="18" spans="1:13" ht="28.5">
      <c r="A18" s="10">
        <v>70802</v>
      </c>
      <c r="B18" s="12" t="s">
        <v>18</v>
      </c>
      <c r="C18" s="14">
        <f>586082-10569.73</f>
        <v>575512.27</v>
      </c>
      <c r="D18" s="14">
        <f>409360-2720</f>
        <v>406640</v>
      </c>
      <c r="E18" s="14">
        <f>9517-4350+2264+100+2720+573</f>
        <v>10824</v>
      </c>
      <c r="F18" s="14">
        <f t="shared" si="3"/>
        <v>0</v>
      </c>
      <c r="G18" s="14"/>
      <c r="H18" s="14"/>
      <c r="I18" s="14"/>
      <c r="J18" s="14"/>
      <c r="K18" s="14"/>
      <c r="L18" s="14"/>
      <c r="M18" s="14">
        <f t="shared" si="1"/>
        <v>575512.27</v>
      </c>
    </row>
    <row r="19" spans="1:13" ht="42.75">
      <c r="A19" s="10">
        <v>70804</v>
      </c>
      <c r="B19" s="12" t="s">
        <v>19</v>
      </c>
      <c r="C19" s="14">
        <f>1053871-11929.17</f>
        <v>1041941.83</v>
      </c>
      <c r="D19" s="14">
        <f>730160-1230</f>
        <v>728930</v>
      </c>
      <c r="E19" s="14">
        <f>16029-3858.3+1230+107</f>
        <v>13507.7</v>
      </c>
      <c r="F19" s="14">
        <f t="shared" si="3"/>
        <v>0</v>
      </c>
      <c r="G19" s="14"/>
      <c r="H19" s="14"/>
      <c r="I19" s="14"/>
      <c r="J19" s="14"/>
      <c r="K19" s="14"/>
      <c r="L19" s="14"/>
      <c r="M19" s="14">
        <f t="shared" si="1"/>
        <v>1041941.83</v>
      </c>
    </row>
    <row r="20" spans="1:13" ht="15">
      <c r="A20" s="10">
        <v>70806</v>
      </c>
      <c r="B20" s="12" t="s">
        <v>20</v>
      </c>
      <c r="C20" s="14">
        <f>828864-2508.46</f>
        <v>826355.54</v>
      </c>
      <c r="D20" s="14">
        <f>564581</f>
        <v>564581</v>
      </c>
      <c r="E20" s="14">
        <f>67095+6461</f>
        <v>73556</v>
      </c>
      <c r="F20" s="14">
        <f t="shared" si="3"/>
        <v>589993</v>
      </c>
      <c r="G20" s="14">
        <f>561988</f>
        <v>561988</v>
      </c>
      <c r="H20" s="14">
        <f>316825</f>
        <v>316825</v>
      </c>
      <c r="I20" s="14">
        <f>6750</f>
        <v>6750</v>
      </c>
      <c r="J20" s="14">
        <f>28005</f>
        <v>28005</v>
      </c>
      <c r="K20" s="14"/>
      <c r="L20" s="14"/>
      <c r="M20" s="14">
        <f t="shared" si="1"/>
        <v>1416348.54</v>
      </c>
    </row>
    <row r="21" spans="1:13" ht="57">
      <c r="A21" s="10">
        <v>70808</v>
      </c>
      <c r="B21" s="12" t="s">
        <v>21</v>
      </c>
      <c r="C21" s="14">
        <f>3620-3620+3620</f>
        <v>3620</v>
      </c>
      <c r="D21" s="14"/>
      <c r="E21" s="14"/>
      <c r="F21" s="14">
        <f t="shared" si="3"/>
        <v>0</v>
      </c>
      <c r="G21" s="14"/>
      <c r="H21" s="14"/>
      <c r="I21" s="14"/>
      <c r="J21" s="14"/>
      <c r="K21" s="14"/>
      <c r="L21" s="14"/>
      <c r="M21" s="14">
        <f t="shared" si="1"/>
        <v>3620</v>
      </c>
    </row>
    <row r="22" spans="1:13" ht="30">
      <c r="A22" s="8">
        <v>90000</v>
      </c>
      <c r="B22" s="18" t="s">
        <v>22</v>
      </c>
      <c r="C22" s="13">
        <f>SUM(C23:C58)</f>
        <v>54090912.589999996</v>
      </c>
      <c r="D22" s="13">
        <f>SUM(D23:D58)</f>
        <v>904069.9299999999</v>
      </c>
      <c r="E22" s="13">
        <f>SUM(E23:E58)</f>
        <v>55362.9</v>
      </c>
      <c r="F22" s="13">
        <f>G22+J22</f>
        <v>154473.6</v>
      </c>
      <c r="G22" s="13">
        <f aca="true" t="shared" si="4" ref="G22:L22">SUM(G23:G58)</f>
        <v>36000</v>
      </c>
      <c r="H22" s="13">
        <f t="shared" si="4"/>
        <v>15500</v>
      </c>
      <c r="I22" s="13">
        <f t="shared" si="4"/>
        <v>0</v>
      </c>
      <c r="J22" s="13">
        <f t="shared" si="4"/>
        <v>118473.6</v>
      </c>
      <c r="K22" s="13">
        <f t="shared" si="4"/>
        <v>113473.6</v>
      </c>
      <c r="L22" s="13">
        <f t="shared" si="4"/>
        <v>100000</v>
      </c>
      <c r="M22" s="13">
        <f t="shared" si="1"/>
        <v>54245386.19</v>
      </c>
    </row>
    <row r="23" spans="1:14" ht="127.5" customHeight="1">
      <c r="A23" s="10">
        <v>90201</v>
      </c>
      <c r="B23" s="12" t="s">
        <v>82</v>
      </c>
      <c r="C23" s="14">
        <f>4701700</f>
        <v>4701700</v>
      </c>
      <c r="D23" s="14"/>
      <c r="E23" s="14"/>
      <c r="F23" s="14">
        <f t="shared" si="3"/>
        <v>0</v>
      </c>
      <c r="G23" s="14"/>
      <c r="H23" s="14"/>
      <c r="I23" s="14"/>
      <c r="J23" s="14"/>
      <c r="K23" s="14"/>
      <c r="L23" s="14"/>
      <c r="M23" s="14">
        <f t="shared" si="1"/>
        <v>4701700</v>
      </c>
      <c r="N23" s="3"/>
    </row>
    <row r="24" spans="1:14" ht="113.25" customHeight="1">
      <c r="A24" s="10">
        <v>90202</v>
      </c>
      <c r="B24" s="12" t="s">
        <v>83</v>
      </c>
      <c r="C24" s="14">
        <f>4000-1287.46</f>
        <v>2712.54</v>
      </c>
      <c r="D24" s="14"/>
      <c r="E24" s="14"/>
      <c r="F24" s="14">
        <f t="shared" si="3"/>
        <v>0</v>
      </c>
      <c r="G24" s="14"/>
      <c r="H24" s="14"/>
      <c r="I24" s="14"/>
      <c r="J24" s="14"/>
      <c r="K24" s="14"/>
      <c r="L24" s="14"/>
      <c r="M24" s="14">
        <f t="shared" si="1"/>
        <v>2712.54</v>
      </c>
      <c r="N24" s="3"/>
    </row>
    <row r="25" spans="1:14" ht="105.75" customHeight="1">
      <c r="A25" s="10">
        <v>90203</v>
      </c>
      <c r="B25" s="12" t="s">
        <v>84</v>
      </c>
      <c r="C25" s="14">
        <f>70000</f>
        <v>70000</v>
      </c>
      <c r="D25" s="14"/>
      <c r="E25" s="14"/>
      <c r="F25" s="14">
        <f t="shared" si="3"/>
        <v>113473.6</v>
      </c>
      <c r="G25" s="14"/>
      <c r="H25" s="14"/>
      <c r="I25" s="14"/>
      <c r="J25" s="14">
        <f>K25</f>
        <v>113473.6</v>
      </c>
      <c r="K25" s="14">
        <f>L25+13473.6</f>
        <v>113473.6</v>
      </c>
      <c r="L25" s="14">
        <f>100000</f>
        <v>100000</v>
      </c>
      <c r="M25" s="14">
        <f t="shared" si="1"/>
        <v>183473.6</v>
      </c>
      <c r="N25" s="3"/>
    </row>
    <row r="26" spans="1:14" ht="133.5" customHeight="1">
      <c r="A26" s="10">
        <v>90204</v>
      </c>
      <c r="B26" s="12" t="s">
        <v>85</v>
      </c>
      <c r="C26" s="14">
        <f>1711400</f>
        <v>1711400</v>
      </c>
      <c r="D26" s="14"/>
      <c r="E26" s="14"/>
      <c r="F26" s="14">
        <f t="shared" si="3"/>
        <v>0</v>
      </c>
      <c r="G26" s="14"/>
      <c r="H26" s="14"/>
      <c r="I26" s="14"/>
      <c r="J26" s="14"/>
      <c r="K26" s="14"/>
      <c r="L26" s="14"/>
      <c r="M26" s="14">
        <f t="shared" si="1"/>
        <v>1711400</v>
      </c>
      <c r="N26" s="3"/>
    </row>
    <row r="27" spans="1:14" ht="63.75" customHeight="1">
      <c r="A27" s="10">
        <v>90207</v>
      </c>
      <c r="B27" s="12" t="s">
        <v>59</v>
      </c>
      <c r="C27" s="14">
        <f>155000</f>
        <v>155000</v>
      </c>
      <c r="D27" s="14"/>
      <c r="E27" s="14"/>
      <c r="F27" s="14">
        <f t="shared" si="3"/>
        <v>0</v>
      </c>
      <c r="G27" s="14"/>
      <c r="H27" s="14"/>
      <c r="I27" s="14"/>
      <c r="J27" s="14"/>
      <c r="K27" s="14"/>
      <c r="L27" s="14"/>
      <c r="M27" s="14">
        <f t="shared" si="1"/>
        <v>155000</v>
      </c>
      <c r="N27" s="3"/>
    </row>
    <row r="28" spans="1:14" ht="76.5" customHeight="1">
      <c r="A28" s="10">
        <v>90209</v>
      </c>
      <c r="B28" s="12" t="s">
        <v>71</v>
      </c>
      <c r="C28" s="14">
        <f>1000</f>
        <v>1000</v>
      </c>
      <c r="D28" s="14"/>
      <c r="E28" s="14"/>
      <c r="F28" s="14">
        <f t="shared" si="3"/>
        <v>0</v>
      </c>
      <c r="G28" s="14"/>
      <c r="H28" s="14"/>
      <c r="I28" s="14"/>
      <c r="J28" s="14"/>
      <c r="K28" s="14"/>
      <c r="L28" s="14"/>
      <c r="M28" s="14">
        <f t="shared" si="1"/>
        <v>1000</v>
      </c>
      <c r="N28" s="3"/>
    </row>
    <row r="29" spans="1:14" ht="41.25" customHeight="1">
      <c r="A29" s="10">
        <v>90212</v>
      </c>
      <c r="B29" s="12" t="s">
        <v>58</v>
      </c>
      <c r="C29" s="14">
        <f>11046</f>
        <v>11046</v>
      </c>
      <c r="D29" s="14"/>
      <c r="E29" s="14"/>
      <c r="F29" s="14">
        <f t="shared" si="3"/>
        <v>0</v>
      </c>
      <c r="G29" s="14"/>
      <c r="H29" s="14"/>
      <c r="I29" s="14"/>
      <c r="J29" s="14"/>
      <c r="K29" s="14"/>
      <c r="L29" s="14"/>
      <c r="M29" s="14">
        <f t="shared" si="1"/>
        <v>11046</v>
      </c>
      <c r="N29" s="3"/>
    </row>
    <row r="30" spans="1:14" ht="28.5">
      <c r="A30" s="10">
        <v>90214</v>
      </c>
      <c r="B30" s="12" t="s">
        <v>76</v>
      </c>
      <c r="C30" s="14">
        <f>390000</f>
        <v>390000</v>
      </c>
      <c r="D30" s="14"/>
      <c r="E30" s="14"/>
      <c r="F30" s="14">
        <f t="shared" si="3"/>
        <v>0</v>
      </c>
      <c r="G30" s="14"/>
      <c r="H30" s="14"/>
      <c r="I30" s="14"/>
      <c r="J30" s="14"/>
      <c r="K30" s="14"/>
      <c r="L30" s="14"/>
      <c r="M30" s="14">
        <f t="shared" si="1"/>
        <v>390000</v>
      </c>
      <c r="N30" s="3"/>
    </row>
    <row r="31" spans="1:14" ht="28.5">
      <c r="A31" s="10">
        <v>90215</v>
      </c>
      <c r="B31" s="12" t="s">
        <v>69</v>
      </c>
      <c r="C31" s="14">
        <f>368000</f>
        <v>368000</v>
      </c>
      <c r="D31" s="14"/>
      <c r="E31" s="14"/>
      <c r="F31" s="14">
        <f t="shared" si="3"/>
        <v>0</v>
      </c>
      <c r="G31" s="14"/>
      <c r="H31" s="14"/>
      <c r="I31" s="14"/>
      <c r="J31" s="14"/>
      <c r="K31" s="14"/>
      <c r="L31" s="14"/>
      <c r="M31" s="14">
        <f t="shared" si="1"/>
        <v>368000</v>
      </c>
      <c r="N31" s="3"/>
    </row>
    <row r="32" spans="1:14" ht="42.75">
      <c r="A32" s="10">
        <v>90216</v>
      </c>
      <c r="B32" s="12" t="s">
        <v>86</v>
      </c>
      <c r="C32" s="14">
        <f>1200-341.32</f>
        <v>858.6800000000001</v>
      </c>
      <c r="D32" s="14"/>
      <c r="E32" s="14"/>
      <c r="F32" s="14">
        <f t="shared" si="3"/>
        <v>0</v>
      </c>
      <c r="G32" s="14"/>
      <c r="H32" s="14"/>
      <c r="I32" s="14"/>
      <c r="J32" s="14"/>
      <c r="K32" s="14"/>
      <c r="L32" s="14"/>
      <c r="M32" s="14">
        <f t="shared" si="1"/>
        <v>858.6800000000001</v>
      </c>
      <c r="N32" s="3"/>
    </row>
    <row r="33" spans="1:13" ht="28.5">
      <c r="A33" s="10">
        <v>90302</v>
      </c>
      <c r="B33" s="12" t="s">
        <v>61</v>
      </c>
      <c r="C33" s="14">
        <f>492000</f>
        <v>492000</v>
      </c>
      <c r="D33" s="14"/>
      <c r="E33" s="14"/>
      <c r="F33" s="14">
        <f t="shared" si="3"/>
        <v>0</v>
      </c>
      <c r="G33" s="14"/>
      <c r="H33" s="14"/>
      <c r="I33" s="14"/>
      <c r="J33" s="14"/>
      <c r="K33" s="14"/>
      <c r="L33" s="14"/>
      <c r="M33" s="14">
        <f t="shared" si="1"/>
        <v>492000</v>
      </c>
    </row>
    <row r="34" spans="1:13" ht="28.5">
      <c r="A34" s="10">
        <v>90303</v>
      </c>
      <c r="B34" s="12" t="s">
        <v>62</v>
      </c>
      <c r="C34" s="14">
        <f>6000000-16200</f>
        <v>5983800</v>
      </c>
      <c r="D34" s="14"/>
      <c r="E34" s="14"/>
      <c r="F34" s="14">
        <f t="shared" si="3"/>
        <v>0</v>
      </c>
      <c r="G34" s="14"/>
      <c r="H34" s="14"/>
      <c r="I34" s="14"/>
      <c r="J34" s="14"/>
      <c r="K34" s="14"/>
      <c r="L34" s="14"/>
      <c r="M34" s="14">
        <f t="shared" si="1"/>
        <v>5983800</v>
      </c>
    </row>
    <row r="35" spans="1:13" ht="15">
      <c r="A35" s="10">
        <v>90304</v>
      </c>
      <c r="B35" s="12" t="s">
        <v>87</v>
      </c>
      <c r="C35" s="14">
        <f>14820000</f>
        <v>14820000</v>
      </c>
      <c r="D35" s="14"/>
      <c r="E35" s="14"/>
      <c r="F35" s="14">
        <f t="shared" si="3"/>
        <v>0</v>
      </c>
      <c r="G35" s="14"/>
      <c r="H35" s="14"/>
      <c r="I35" s="14"/>
      <c r="J35" s="14"/>
      <c r="K35" s="14"/>
      <c r="L35" s="14"/>
      <c r="M35" s="14">
        <f t="shared" si="1"/>
        <v>14820000</v>
      </c>
    </row>
    <row r="36" spans="1:13" ht="28.5">
      <c r="A36" s="10">
        <v>90305</v>
      </c>
      <c r="B36" s="12" t="s">
        <v>63</v>
      </c>
      <c r="C36" s="14">
        <f>1692000</f>
        <v>1692000</v>
      </c>
      <c r="D36" s="14"/>
      <c r="E36" s="14"/>
      <c r="F36" s="14">
        <f t="shared" si="3"/>
        <v>0</v>
      </c>
      <c r="G36" s="14"/>
      <c r="H36" s="14"/>
      <c r="I36" s="14"/>
      <c r="J36" s="14"/>
      <c r="K36" s="14"/>
      <c r="L36" s="14"/>
      <c r="M36" s="14">
        <f t="shared" si="1"/>
        <v>1692000</v>
      </c>
    </row>
    <row r="37" spans="1:13" ht="28.5">
      <c r="A37" s="10">
        <v>90306</v>
      </c>
      <c r="B37" s="12" t="s">
        <v>64</v>
      </c>
      <c r="C37" s="14">
        <f>2820000</f>
        <v>2820000</v>
      </c>
      <c r="D37" s="14"/>
      <c r="E37" s="14"/>
      <c r="F37" s="14">
        <f t="shared" si="3"/>
        <v>0</v>
      </c>
      <c r="G37" s="14"/>
      <c r="H37" s="14"/>
      <c r="I37" s="14"/>
      <c r="J37" s="14"/>
      <c r="K37" s="14"/>
      <c r="L37" s="14"/>
      <c r="M37" s="14">
        <f t="shared" si="1"/>
        <v>2820000</v>
      </c>
    </row>
    <row r="38" spans="1:13" ht="28.5">
      <c r="A38" s="10">
        <v>90307</v>
      </c>
      <c r="B38" s="12" t="s">
        <v>65</v>
      </c>
      <c r="C38" s="14">
        <f>600000</f>
        <v>600000</v>
      </c>
      <c r="D38" s="14"/>
      <c r="E38" s="14"/>
      <c r="F38" s="14">
        <f t="shared" si="3"/>
        <v>0</v>
      </c>
      <c r="G38" s="14"/>
      <c r="H38" s="14"/>
      <c r="I38" s="14"/>
      <c r="J38" s="14"/>
      <c r="K38" s="14"/>
      <c r="L38" s="14"/>
      <c r="M38" s="14">
        <f t="shared" si="1"/>
        <v>600000</v>
      </c>
    </row>
    <row r="39" spans="1:13" ht="15">
      <c r="A39" s="10">
        <v>90308</v>
      </c>
      <c r="B39" s="12" t="s">
        <v>92</v>
      </c>
      <c r="C39" s="14">
        <f>4860+16200</f>
        <v>21060</v>
      </c>
      <c r="D39" s="14"/>
      <c r="E39" s="14"/>
      <c r="F39" s="14">
        <f>G39+J39</f>
        <v>0</v>
      </c>
      <c r="G39" s="14"/>
      <c r="H39" s="14"/>
      <c r="I39" s="14"/>
      <c r="J39" s="14"/>
      <c r="K39" s="14"/>
      <c r="L39" s="14"/>
      <c r="M39" s="14">
        <f>C39+F39</f>
        <v>21060</v>
      </c>
    </row>
    <row r="40" spans="1:13" ht="28.5">
      <c r="A40" s="10">
        <v>90401</v>
      </c>
      <c r="B40" s="12" t="s">
        <v>66</v>
      </c>
      <c r="C40" s="14">
        <f>3488643</f>
        <v>3488643</v>
      </c>
      <c r="D40" s="14"/>
      <c r="E40" s="14"/>
      <c r="F40" s="14">
        <f t="shared" si="3"/>
        <v>0</v>
      </c>
      <c r="G40" s="14"/>
      <c r="H40" s="14"/>
      <c r="I40" s="14"/>
      <c r="J40" s="14"/>
      <c r="K40" s="14"/>
      <c r="L40" s="14"/>
      <c r="M40" s="14">
        <f t="shared" si="1"/>
        <v>3488643</v>
      </c>
    </row>
    <row r="41" spans="1:13" ht="42.75">
      <c r="A41" s="10">
        <v>90405</v>
      </c>
      <c r="B41" s="12" t="s">
        <v>67</v>
      </c>
      <c r="C41" s="14">
        <f>8445262</f>
        <v>8445262</v>
      </c>
      <c r="D41" s="14"/>
      <c r="E41" s="14"/>
      <c r="F41" s="14">
        <f t="shared" si="3"/>
        <v>0</v>
      </c>
      <c r="G41" s="14"/>
      <c r="H41" s="14"/>
      <c r="I41" s="14"/>
      <c r="J41" s="14"/>
      <c r="K41" s="14"/>
      <c r="L41" s="14"/>
      <c r="M41" s="14">
        <f aca="true" t="shared" si="5" ref="M41:M73">C41+F41</f>
        <v>8445262</v>
      </c>
    </row>
    <row r="42" spans="1:13" ht="71.25">
      <c r="A42" s="10">
        <v>90406</v>
      </c>
      <c r="B42" s="12" t="s">
        <v>68</v>
      </c>
      <c r="C42" s="14">
        <f>9000+1628.78</f>
        <v>10628.78</v>
      </c>
      <c r="D42" s="14"/>
      <c r="E42" s="14"/>
      <c r="F42" s="14">
        <f t="shared" si="3"/>
        <v>0</v>
      </c>
      <c r="G42" s="14"/>
      <c r="H42" s="14"/>
      <c r="I42" s="14"/>
      <c r="J42" s="14"/>
      <c r="K42" s="14"/>
      <c r="L42" s="14"/>
      <c r="M42" s="14">
        <f t="shared" si="5"/>
        <v>10628.78</v>
      </c>
    </row>
    <row r="43" spans="1:13" ht="28.5">
      <c r="A43" s="10">
        <v>90412</v>
      </c>
      <c r="B43" s="12" t="s">
        <v>23</v>
      </c>
      <c r="C43" s="14">
        <f>145000</f>
        <v>145000</v>
      </c>
      <c r="D43" s="14"/>
      <c r="E43" s="14"/>
      <c r="F43" s="14">
        <f t="shared" si="3"/>
        <v>0</v>
      </c>
      <c r="G43" s="14"/>
      <c r="H43" s="14"/>
      <c r="I43" s="14"/>
      <c r="J43" s="14"/>
      <c r="K43" s="14"/>
      <c r="L43" s="14"/>
      <c r="M43" s="14">
        <f t="shared" si="5"/>
        <v>145000</v>
      </c>
    </row>
    <row r="44" spans="1:13" ht="42.75">
      <c r="A44" s="10">
        <v>90413</v>
      </c>
      <c r="B44" s="12" t="s">
        <v>60</v>
      </c>
      <c r="C44" s="14">
        <f>1182871</f>
        <v>1182871</v>
      </c>
      <c r="D44" s="14"/>
      <c r="E44" s="14"/>
      <c r="F44" s="14">
        <f t="shared" si="3"/>
        <v>0</v>
      </c>
      <c r="G44" s="14"/>
      <c r="H44" s="14"/>
      <c r="I44" s="14"/>
      <c r="J44" s="14"/>
      <c r="K44" s="14"/>
      <c r="L44" s="14"/>
      <c r="M44" s="14">
        <f t="shared" si="5"/>
        <v>1182871</v>
      </c>
    </row>
    <row r="45" spans="1:13" ht="73.5" customHeight="1">
      <c r="A45" s="10">
        <v>90414</v>
      </c>
      <c r="B45" s="12" t="s">
        <v>93</v>
      </c>
      <c r="C45" s="14">
        <f>2000</f>
        <v>2000</v>
      </c>
      <c r="D45" s="14"/>
      <c r="E45" s="14"/>
      <c r="F45" s="14">
        <f t="shared" si="3"/>
        <v>0</v>
      </c>
      <c r="G45" s="14"/>
      <c r="H45" s="14"/>
      <c r="I45" s="14"/>
      <c r="J45" s="14"/>
      <c r="K45" s="14"/>
      <c r="L45" s="14"/>
      <c r="M45" s="14">
        <f t="shared" si="5"/>
        <v>2000</v>
      </c>
    </row>
    <row r="46" spans="1:13" ht="28.5">
      <c r="A46" s="10">
        <v>90417</v>
      </c>
      <c r="B46" s="12" t="s">
        <v>88</v>
      </c>
      <c r="C46" s="14">
        <f>39845</f>
        <v>39845</v>
      </c>
      <c r="D46" s="14"/>
      <c r="E46" s="14"/>
      <c r="F46" s="14">
        <f t="shared" si="3"/>
        <v>0</v>
      </c>
      <c r="G46" s="14"/>
      <c r="H46" s="14"/>
      <c r="I46" s="14"/>
      <c r="J46" s="14"/>
      <c r="K46" s="14"/>
      <c r="L46" s="14"/>
      <c r="M46" s="14">
        <f t="shared" si="5"/>
        <v>39845</v>
      </c>
    </row>
    <row r="47" spans="1:13" ht="28.5">
      <c r="A47" s="10">
        <v>90802</v>
      </c>
      <c r="B47" s="12" t="s">
        <v>95</v>
      </c>
      <c r="C47" s="14">
        <f>5000</f>
        <v>5000</v>
      </c>
      <c r="D47" s="14"/>
      <c r="E47" s="14"/>
      <c r="F47" s="14">
        <f t="shared" si="3"/>
        <v>0</v>
      </c>
      <c r="G47" s="14"/>
      <c r="H47" s="14"/>
      <c r="I47" s="14"/>
      <c r="J47" s="14"/>
      <c r="K47" s="14"/>
      <c r="L47" s="14"/>
      <c r="M47" s="14">
        <f t="shared" si="5"/>
        <v>5000</v>
      </c>
    </row>
    <row r="48" spans="1:13" ht="28.5">
      <c r="A48" s="10">
        <v>91101</v>
      </c>
      <c r="B48" s="12" t="s">
        <v>24</v>
      </c>
      <c r="C48" s="14">
        <f>251359+89541+33000+1417</f>
        <v>375317</v>
      </c>
      <c r="D48" s="14">
        <f>173644+61249+24200+730</f>
        <v>259823</v>
      </c>
      <c r="E48" s="14">
        <f>8402+5291</f>
        <v>13693</v>
      </c>
      <c r="F48" s="14">
        <f t="shared" si="3"/>
        <v>0</v>
      </c>
      <c r="G48" s="14"/>
      <c r="H48" s="14"/>
      <c r="I48" s="14"/>
      <c r="J48" s="14"/>
      <c r="K48" s="14"/>
      <c r="L48" s="14"/>
      <c r="M48" s="14">
        <f t="shared" si="5"/>
        <v>375317</v>
      </c>
    </row>
    <row r="49" spans="1:13" ht="42.75">
      <c r="A49" s="10">
        <v>91102</v>
      </c>
      <c r="B49" s="12" t="s">
        <v>25</v>
      </c>
      <c r="C49" s="14">
        <f>7290-1417</f>
        <v>5873</v>
      </c>
      <c r="D49" s="14"/>
      <c r="E49" s="14"/>
      <c r="F49" s="14">
        <f t="shared" si="3"/>
        <v>0</v>
      </c>
      <c r="G49" s="14"/>
      <c r="H49" s="14"/>
      <c r="I49" s="14"/>
      <c r="J49" s="14"/>
      <c r="K49" s="14"/>
      <c r="L49" s="14"/>
      <c r="M49" s="14">
        <f t="shared" si="5"/>
        <v>5873</v>
      </c>
    </row>
    <row r="50" spans="1:13" ht="28.5">
      <c r="A50" s="10">
        <v>91103</v>
      </c>
      <c r="B50" s="12" t="s">
        <v>26</v>
      </c>
      <c r="C50" s="14">
        <f>40000-8727.09</f>
        <v>31272.91</v>
      </c>
      <c r="D50" s="14"/>
      <c r="E50" s="14"/>
      <c r="F50" s="14">
        <f t="shared" si="3"/>
        <v>0</v>
      </c>
      <c r="G50" s="14"/>
      <c r="H50" s="14"/>
      <c r="I50" s="14"/>
      <c r="J50" s="14"/>
      <c r="K50" s="14"/>
      <c r="L50" s="14"/>
      <c r="M50" s="14">
        <f t="shared" si="5"/>
        <v>31272.91</v>
      </c>
    </row>
    <row r="51" spans="1:13" ht="15">
      <c r="A51" s="10">
        <v>91106</v>
      </c>
      <c r="B51" s="12" t="s">
        <v>27</v>
      </c>
      <c r="C51" s="14">
        <f>113418+50407</f>
        <v>163825</v>
      </c>
      <c r="D51" s="14">
        <f>78334+38391+75.93</f>
        <v>116800.93</v>
      </c>
      <c r="E51" s="14">
        <f>10336+151+100-171.1</f>
        <v>10415.9</v>
      </c>
      <c r="F51" s="14">
        <f t="shared" si="3"/>
        <v>16000</v>
      </c>
      <c r="G51" s="14">
        <f>16000</f>
        <v>16000</v>
      </c>
      <c r="H51" s="14">
        <f>8000</f>
        <v>8000</v>
      </c>
      <c r="I51" s="14"/>
      <c r="J51" s="14"/>
      <c r="K51" s="14"/>
      <c r="L51" s="14"/>
      <c r="M51" s="14">
        <f t="shared" si="5"/>
        <v>179825</v>
      </c>
    </row>
    <row r="52" spans="1:13" ht="81.75" customHeight="1">
      <c r="A52" s="10">
        <v>91108</v>
      </c>
      <c r="B52" s="16" t="s">
        <v>54</v>
      </c>
      <c r="C52" s="14">
        <f>60000+50000</f>
        <v>110000</v>
      </c>
      <c r="D52" s="14"/>
      <c r="E52" s="14"/>
      <c r="F52" s="14">
        <f t="shared" si="3"/>
        <v>0</v>
      </c>
      <c r="G52" s="14"/>
      <c r="H52" s="14"/>
      <c r="I52" s="14"/>
      <c r="J52" s="14"/>
      <c r="K52" s="14"/>
      <c r="L52" s="14"/>
      <c r="M52" s="14">
        <f t="shared" si="5"/>
        <v>110000</v>
      </c>
    </row>
    <row r="53" spans="1:13" ht="42.75">
      <c r="A53" s="10">
        <v>91204</v>
      </c>
      <c r="B53" s="12" t="s">
        <v>96</v>
      </c>
      <c r="C53" s="25">
        <f>582300+20000-8307.14</f>
        <v>593992.86</v>
      </c>
      <c r="D53" s="25">
        <f>413895</f>
        <v>413895</v>
      </c>
      <c r="E53" s="25">
        <f>8389+3015+413</f>
        <v>11817</v>
      </c>
      <c r="F53" s="14">
        <f t="shared" si="3"/>
        <v>25000</v>
      </c>
      <c r="G53" s="14">
        <f>20000</f>
        <v>20000</v>
      </c>
      <c r="H53" s="14">
        <f>7500</f>
        <v>7500</v>
      </c>
      <c r="I53" s="14"/>
      <c r="J53" s="14">
        <f>5000</f>
        <v>5000</v>
      </c>
      <c r="K53" s="14"/>
      <c r="L53" s="14"/>
      <c r="M53" s="14">
        <f t="shared" si="5"/>
        <v>618992.86</v>
      </c>
    </row>
    <row r="54" spans="1:13" ht="99.75">
      <c r="A54" s="10">
        <v>91205</v>
      </c>
      <c r="B54" s="12" t="s">
        <v>94</v>
      </c>
      <c r="C54" s="25">
        <f>26000</f>
        <v>26000</v>
      </c>
      <c r="D54" s="25"/>
      <c r="E54" s="25"/>
      <c r="F54" s="14">
        <f t="shared" si="3"/>
        <v>0</v>
      </c>
      <c r="G54" s="14"/>
      <c r="H54" s="14"/>
      <c r="I54" s="14"/>
      <c r="J54" s="14"/>
      <c r="K54" s="14"/>
      <c r="L54" s="14"/>
      <c r="M54" s="14">
        <f t="shared" si="5"/>
        <v>26000</v>
      </c>
    </row>
    <row r="55" spans="1:13" ht="28.5">
      <c r="A55" s="10">
        <v>91206</v>
      </c>
      <c r="B55" s="12" t="s">
        <v>89</v>
      </c>
      <c r="C55" s="25">
        <f>164351-5572.18+40200</f>
        <v>198978.82</v>
      </c>
      <c r="D55" s="25">
        <f>84151+29400</f>
        <v>113551</v>
      </c>
      <c r="E55" s="25">
        <f>19437</f>
        <v>19437</v>
      </c>
      <c r="F55" s="14">
        <f t="shared" si="3"/>
        <v>0</v>
      </c>
      <c r="G55" s="14"/>
      <c r="H55" s="14"/>
      <c r="I55" s="14"/>
      <c r="J55" s="14"/>
      <c r="K55" s="14"/>
      <c r="L55" s="14"/>
      <c r="M55" s="14">
        <f t="shared" si="5"/>
        <v>198978.82</v>
      </c>
    </row>
    <row r="56" spans="1:13" ht="42.75">
      <c r="A56" s="10">
        <v>91300</v>
      </c>
      <c r="B56" s="12" t="s">
        <v>72</v>
      </c>
      <c r="C56" s="14">
        <f>5401500</f>
        <v>5401500</v>
      </c>
      <c r="D56" s="14"/>
      <c r="E56" s="14"/>
      <c r="F56" s="14">
        <f t="shared" si="3"/>
        <v>0</v>
      </c>
      <c r="G56" s="14"/>
      <c r="H56" s="14"/>
      <c r="I56" s="14"/>
      <c r="J56" s="14"/>
      <c r="K56" s="14"/>
      <c r="L56" s="14"/>
      <c r="M56" s="14">
        <f t="shared" si="5"/>
        <v>5401500</v>
      </c>
    </row>
    <row r="57" spans="1:13" ht="59.25" customHeight="1">
      <c r="A57" s="10">
        <v>91303</v>
      </c>
      <c r="B57" s="12" t="s">
        <v>73</v>
      </c>
      <c r="C57" s="14">
        <f>19958</f>
        <v>19958</v>
      </c>
      <c r="D57" s="14"/>
      <c r="E57" s="14"/>
      <c r="F57" s="14">
        <f t="shared" si="3"/>
        <v>0</v>
      </c>
      <c r="G57" s="14"/>
      <c r="H57" s="14"/>
      <c r="I57" s="14"/>
      <c r="J57" s="14"/>
      <c r="K57" s="14"/>
      <c r="L57" s="14"/>
      <c r="M57" s="14">
        <f t="shared" si="5"/>
        <v>19958</v>
      </c>
    </row>
    <row r="58" spans="1:13" ht="28.5">
      <c r="A58" s="10">
        <v>91304</v>
      </c>
      <c r="B58" s="12" t="s">
        <v>74</v>
      </c>
      <c r="C58" s="14">
        <f>4368</f>
        <v>4368</v>
      </c>
      <c r="D58" s="14"/>
      <c r="E58" s="14"/>
      <c r="F58" s="14">
        <f t="shared" si="3"/>
        <v>0</v>
      </c>
      <c r="G58" s="14"/>
      <c r="H58" s="14"/>
      <c r="I58" s="14"/>
      <c r="J58" s="14"/>
      <c r="K58" s="14"/>
      <c r="L58" s="14"/>
      <c r="M58" s="14">
        <f t="shared" si="5"/>
        <v>4368</v>
      </c>
    </row>
    <row r="59" spans="1:13" ht="30">
      <c r="A59" s="8">
        <v>100000</v>
      </c>
      <c r="B59" s="18" t="s">
        <v>28</v>
      </c>
      <c r="C59" s="13">
        <f>SUM(C60:C62)</f>
        <v>3015000</v>
      </c>
      <c r="D59" s="13">
        <f aca="true" t="shared" si="6" ref="D59:L59">SUM(D60:D62)</f>
        <v>0</v>
      </c>
      <c r="E59" s="13">
        <f t="shared" si="6"/>
        <v>0</v>
      </c>
      <c r="F59" s="13">
        <f t="shared" si="6"/>
        <v>1978677.19</v>
      </c>
      <c r="G59" s="13">
        <f t="shared" si="6"/>
        <v>0</v>
      </c>
      <c r="H59" s="13">
        <f t="shared" si="6"/>
        <v>0</v>
      </c>
      <c r="I59" s="13">
        <f t="shared" si="6"/>
        <v>0</v>
      </c>
      <c r="J59" s="13">
        <f t="shared" si="6"/>
        <v>1978677.19</v>
      </c>
      <c r="K59" s="13">
        <f t="shared" si="6"/>
        <v>1978677.19</v>
      </c>
      <c r="L59" s="13">
        <f t="shared" si="6"/>
        <v>0</v>
      </c>
      <c r="M59" s="13">
        <f t="shared" si="5"/>
        <v>4993677.1899999995</v>
      </c>
    </row>
    <row r="60" spans="1:13" ht="28.5">
      <c r="A60" s="34">
        <v>100102</v>
      </c>
      <c r="B60" s="38" t="s">
        <v>107</v>
      </c>
      <c r="C60" s="29"/>
      <c r="D60" s="13"/>
      <c r="E60" s="13"/>
      <c r="F60" s="31">
        <f>G60+J60</f>
        <v>200000</v>
      </c>
      <c r="G60" s="13"/>
      <c r="H60" s="13"/>
      <c r="I60" s="13"/>
      <c r="J60" s="13">
        <f>200000</f>
        <v>200000</v>
      </c>
      <c r="K60" s="13">
        <f>200000</f>
        <v>200000</v>
      </c>
      <c r="L60" s="13"/>
      <c r="M60" s="31">
        <f t="shared" si="5"/>
        <v>200000</v>
      </c>
    </row>
    <row r="61" spans="1:13" ht="28.5">
      <c r="A61" s="32">
        <v>100202</v>
      </c>
      <c r="B61" s="12" t="s">
        <v>101</v>
      </c>
      <c r="C61" s="29"/>
      <c r="D61" s="31"/>
      <c r="E61" s="31"/>
      <c r="F61" s="31">
        <f>G61+J61</f>
        <v>1666677.19</v>
      </c>
      <c r="G61" s="31"/>
      <c r="H61" s="31"/>
      <c r="I61" s="31"/>
      <c r="J61" s="31">
        <f>34677.19+391000+291000+250000+700000</f>
        <v>1666677.19</v>
      </c>
      <c r="K61" s="31">
        <f>34677.19+391000+291000+250000+700000</f>
        <v>1666677.19</v>
      </c>
      <c r="L61" s="31"/>
      <c r="M61" s="31">
        <f t="shared" si="5"/>
        <v>1666677.19</v>
      </c>
    </row>
    <row r="62" spans="1:13" ht="15">
      <c r="A62" s="10">
        <v>100203</v>
      </c>
      <c r="B62" s="12" t="s">
        <v>29</v>
      </c>
      <c r="C62" s="14">
        <f>3370000-155000-200000</f>
        <v>3015000</v>
      </c>
      <c r="D62" s="14"/>
      <c r="E62" s="14"/>
      <c r="F62" s="14">
        <f t="shared" si="3"/>
        <v>112000</v>
      </c>
      <c r="G62" s="14"/>
      <c r="H62" s="14"/>
      <c r="I62" s="14"/>
      <c r="J62" s="14">
        <f>22000+60000+30000</f>
        <v>112000</v>
      </c>
      <c r="K62" s="14">
        <f>22000+60000+30000</f>
        <v>112000</v>
      </c>
      <c r="L62" s="14"/>
      <c r="M62" s="14">
        <f t="shared" si="5"/>
        <v>3127000</v>
      </c>
    </row>
    <row r="63" spans="1:13" ht="15">
      <c r="A63" s="8">
        <v>110000</v>
      </c>
      <c r="B63" s="18" t="s">
        <v>30</v>
      </c>
      <c r="C63" s="13">
        <f>SUM(C64:C68)</f>
        <v>3689935.83</v>
      </c>
      <c r="D63" s="13">
        <f>SUM(D64:D68)</f>
        <v>2622705</v>
      </c>
      <c r="E63" s="13">
        <f>SUM(E64:E68)</f>
        <v>87349.15</v>
      </c>
      <c r="F63" s="13">
        <f>G63+J63</f>
        <v>551100</v>
      </c>
      <c r="G63" s="13">
        <f aca="true" t="shared" si="7" ref="G63:L63">SUM(G64:G68)</f>
        <v>334100</v>
      </c>
      <c r="H63" s="13">
        <f t="shared" si="7"/>
        <v>153700</v>
      </c>
      <c r="I63" s="13">
        <f t="shared" si="7"/>
        <v>95500</v>
      </c>
      <c r="J63" s="13">
        <f t="shared" si="7"/>
        <v>217000</v>
      </c>
      <c r="K63" s="13">
        <f t="shared" si="7"/>
        <v>200000</v>
      </c>
      <c r="L63" s="13">
        <f t="shared" si="7"/>
        <v>0</v>
      </c>
      <c r="M63" s="13">
        <f t="shared" si="5"/>
        <v>4241035.83</v>
      </c>
    </row>
    <row r="64" spans="1:13" ht="15">
      <c r="A64" s="10">
        <v>110201</v>
      </c>
      <c r="B64" s="12" t="s">
        <v>31</v>
      </c>
      <c r="C64" s="14">
        <f>244193</f>
        <v>244193</v>
      </c>
      <c r="D64" s="14">
        <f>164099</f>
        <v>164099</v>
      </c>
      <c r="E64" s="14">
        <f>20487</f>
        <v>20487</v>
      </c>
      <c r="F64" s="14">
        <f t="shared" si="3"/>
        <v>2500</v>
      </c>
      <c r="G64" s="14">
        <f>2500</f>
        <v>2500</v>
      </c>
      <c r="H64" s="14"/>
      <c r="I64" s="14"/>
      <c r="J64" s="14"/>
      <c r="K64" s="14"/>
      <c r="L64" s="14"/>
      <c r="M64" s="14">
        <f t="shared" si="5"/>
        <v>246693</v>
      </c>
    </row>
    <row r="65" spans="1:13" ht="15">
      <c r="A65" s="10">
        <v>110202</v>
      </c>
      <c r="B65" s="12" t="s">
        <v>32</v>
      </c>
      <c r="C65" s="14">
        <f>102056</f>
        <v>102056</v>
      </c>
      <c r="D65" s="14">
        <f>74975</f>
        <v>74975</v>
      </c>
      <c r="E65" s="14"/>
      <c r="F65" s="14">
        <f t="shared" si="3"/>
        <v>208000</v>
      </c>
      <c r="G65" s="14">
        <f>8000</f>
        <v>8000</v>
      </c>
      <c r="H65" s="14"/>
      <c r="I65" s="14">
        <f>3000</f>
        <v>3000</v>
      </c>
      <c r="J65" s="14">
        <f>200000</f>
        <v>200000</v>
      </c>
      <c r="K65" s="14">
        <f>200000</f>
        <v>200000</v>
      </c>
      <c r="L65" s="14"/>
      <c r="M65" s="14">
        <f t="shared" si="5"/>
        <v>310056</v>
      </c>
    </row>
    <row r="66" spans="1:13" ht="28.5">
      <c r="A66" s="10">
        <v>110204</v>
      </c>
      <c r="B66" s="12" t="s">
        <v>33</v>
      </c>
      <c r="C66" s="14">
        <f>290010</f>
        <v>290010</v>
      </c>
      <c r="D66" s="14">
        <f>212522</f>
        <v>212522</v>
      </c>
      <c r="E66" s="14"/>
      <c r="F66" s="14">
        <f t="shared" si="3"/>
        <v>63000</v>
      </c>
      <c r="G66" s="14">
        <f>63000</f>
        <v>63000</v>
      </c>
      <c r="H66" s="14">
        <f>31500</f>
        <v>31500</v>
      </c>
      <c r="I66" s="14">
        <f>15000</f>
        <v>15000</v>
      </c>
      <c r="J66" s="14"/>
      <c r="K66" s="14"/>
      <c r="L66" s="14"/>
      <c r="M66" s="14">
        <f t="shared" si="5"/>
        <v>353010</v>
      </c>
    </row>
    <row r="67" spans="1:13" ht="28.5">
      <c r="A67" s="10">
        <v>110205</v>
      </c>
      <c r="B67" s="12" t="s">
        <v>34</v>
      </c>
      <c r="C67" s="14">
        <f>2389737-851.85</f>
        <v>2388885.15</v>
      </c>
      <c r="D67" s="14">
        <f>1715208</f>
        <v>1715208</v>
      </c>
      <c r="E67" s="14">
        <f>67714-851.85</f>
        <v>66862.15</v>
      </c>
      <c r="F67" s="14">
        <f t="shared" si="3"/>
        <v>267600</v>
      </c>
      <c r="G67" s="14">
        <f>90600+160000</f>
        <v>250600</v>
      </c>
      <c r="H67" s="14">
        <f>43000+74000</f>
        <v>117000</v>
      </c>
      <c r="I67" s="14">
        <f>27500+50000</f>
        <v>77500</v>
      </c>
      <c r="J67" s="14">
        <f>7000+10000</f>
        <v>17000</v>
      </c>
      <c r="K67" s="14"/>
      <c r="L67" s="14"/>
      <c r="M67" s="14">
        <f t="shared" si="5"/>
        <v>2656485.15</v>
      </c>
    </row>
    <row r="68" spans="1:13" ht="28.5">
      <c r="A68" s="10">
        <v>110502</v>
      </c>
      <c r="B68" s="12" t="s">
        <v>35</v>
      </c>
      <c r="C68" s="14">
        <f>620304+100000-119.37-55392.95</f>
        <v>664791.68</v>
      </c>
      <c r="D68" s="14">
        <f>341205+114696</f>
        <v>455901</v>
      </c>
      <c r="E68" s="14"/>
      <c r="F68" s="14">
        <f t="shared" si="3"/>
        <v>10000</v>
      </c>
      <c r="G68" s="14">
        <f>10000</f>
        <v>10000</v>
      </c>
      <c r="H68" s="14">
        <f>5200</f>
        <v>5200</v>
      </c>
      <c r="I68" s="14"/>
      <c r="J68" s="14"/>
      <c r="K68" s="14"/>
      <c r="L68" s="14"/>
      <c r="M68" s="14">
        <f t="shared" si="5"/>
        <v>674791.68</v>
      </c>
    </row>
    <row r="69" spans="1:13" ht="15">
      <c r="A69" s="8">
        <v>120000</v>
      </c>
      <c r="B69" s="18" t="s">
        <v>36</v>
      </c>
      <c r="C69" s="13">
        <f>SUM(C70:C71)</f>
        <v>190000</v>
      </c>
      <c r="D69" s="13">
        <f>SUM(D70:D71)</f>
        <v>0</v>
      </c>
      <c r="E69" s="13">
        <f>SUM(E70:E71)</f>
        <v>0</v>
      </c>
      <c r="F69" s="13">
        <f>G69+J69</f>
        <v>0</v>
      </c>
      <c r="G69" s="13">
        <f aca="true" t="shared" si="8" ref="G69:L69">SUM(G70:G71)</f>
        <v>0</v>
      </c>
      <c r="H69" s="13">
        <f t="shared" si="8"/>
        <v>0</v>
      </c>
      <c r="I69" s="13">
        <f t="shared" si="8"/>
        <v>0</v>
      </c>
      <c r="J69" s="13">
        <f t="shared" si="8"/>
        <v>0</v>
      </c>
      <c r="K69" s="13">
        <f t="shared" si="8"/>
        <v>0</v>
      </c>
      <c r="L69" s="13">
        <f t="shared" si="8"/>
        <v>0</v>
      </c>
      <c r="M69" s="13">
        <f t="shared" si="5"/>
        <v>190000</v>
      </c>
    </row>
    <row r="70" spans="1:13" ht="15">
      <c r="A70" s="10">
        <v>120100</v>
      </c>
      <c r="B70" s="12" t="s">
        <v>37</v>
      </c>
      <c r="C70" s="14">
        <f>50000</f>
        <v>50000</v>
      </c>
      <c r="D70" s="14"/>
      <c r="E70" s="14"/>
      <c r="F70" s="14">
        <f t="shared" si="3"/>
        <v>0</v>
      </c>
      <c r="G70" s="14"/>
      <c r="H70" s="14"/>
      <c r="I70" s="14"/>
      <c r="J70" s="14"/>
      <c r="K70" s="14"/>
      <c r="L70" s="14"/>
      <c r="M70" s="14">
        <f t="shared" si="5"/>
        <v>50000</v>
      </c>
    </row>
    <row r="71" spans="1:13" ht="28.5">
      <c r="A71" s="10">
        <v>120201</v>
      </c>
      <c r="B71" s="12" t="s">
        <v>38</v>
      </c>
      <c r="C71" s="14">
        <f>140000</f>
        <v>140000</v>
      </c>
      <c r="D71" s="14"/>
      <c r="E71" s="14"/>
      <c r="F71" s="14">
        <f t="shared" si="3"/>
        <v>0</v>
      </c>
      <c r="G71" s="14"/>
      <c r="H71" s="14"/>
      <c r="I71" s="14"/>
      <c r="J71" s="14"/>
      <c r="K71" s="14"/>
      <c r="L71" s="14"/>
      <c r="M71" s="14">
        <f t="shared" si="5"/>
        <v>140000</v>
      </c>
    </row>
    <row r="72" spans="1:13" ht="15">
      <c r="A72" s="8">
        <v>130000</v>
      </c>
      <c r="B72" s="18" t="s">
        <v>39</v>
      </c>
      <c r="C72" s="13">
        <f>SUM(C73:C74)</f>
        <v>795727.9199999999</v>
      </c>
      <c r="D72" s="13">
        <f>SUM(D73:D74)</f>
        <v>411026</v>
      </c>
      <c r="E72" s="13">
        <f>SUM(E73:E74)</f>
        <v>92710</v>
      </c>
      <c r="F72" s="13">
        <f>G72+J72</f>
        <v>72032</v>
      </c>
      <c r="G72" s="13">
        <f aca="true" t="shared" si="9" ref="G72:L72">SUM(G73:G74)</f>
        <v>0</v>
      </c>
      <c r="H72" s="13">
        <f t="shared" si="9"/>
        <v>0</v>
      </c>
      <c r="I72" s="13">
        <f t="shared" si="9"/>
        <v>0</v>
      </c>
      <c r="J72" s="13">
        <f t="shared" si="9"/>
        <v>72032</v>
      </c>
      <c r="K72" s="13">
        <f t="shared" si="9"/>
        <v>72032</v>
      </c>
      <c r="L72" s="13">
        <f t="shared" si="9"/>
        <v>0</v>
      </c>
      <c r="M72" s="13">
        <f t="shared" si="5"/>
        <v>867759.9199999999</v>
      </c>
    </row>
    <row r="73" spans="1:13" ht="28.5">
      <c r="A73" s="10">
        <v>130102</v>
      </c>
      <c r="B73" s="12" t="s">
        <v>40</v>
      </c>
      <c r="C73" s="14">
        <f>150000-20000-41078.56</f>
        <v>88921.44</v>
      </c>
      <c r="D73" s="14"/>
      <c r="E73" s="14"/>
      <c r="F73" s="14">
        <f t="shared" si="3"/>
        <v>0</v>
      </c>
      <c r="G73" s="14"/>
      <c r="H73" s="14"/>
      <c r="I73" s="14"/>
      <c r="J73" s="14"/>
      <c r="K73" s="14"/>
      <c r="L73" s="14"/>
      <c r="M73" s="14">
        <f t="shared" si="5"/>
        <v>88921.44</v>
      </c>
    </row>
    <row r="74" spans="1:13" ht="42.75">
      <c r="A74" s="10">
        <v>130107</v>
      </c>
      <c r="B74" s="12" t="s">
        <v>91</v>
      </c>
      <c r="C74" s="25">
        <f>439700-655.52+730+23072+55000+161700+27260</f>
        <v>706806.48</v>
      </c>
      <c r="D74" s="25">
        <f>273526+117500+20000</f>
        <v>411026</v>
      </c>
      <c r="E74" s="25">
        <f>64281+10646+23072-5289</f>
        <v>92710</v>
      </c>
      <c r="F74" s="14">
        <f t="shared" si="3"/>
        <v>72032</v>
      </c>
      <c r="G74" s="14"/>
      <c r="H74" s="14"/>
      <c r="I74" s="14"/>
      <c r="J74" s="31">
        <f>32032+40000</f>
        <v>72032</v>
      </c>
      <c r="K74" s="31">
        <f>32032+40000</f>
        <v>72032</v>
      </c>
      <c r="L74" s="14"/>
      <c r="M74" s="14">
        <f aca="true" t="shared" si="10" ref="M74:M101">C74+F74</f>
        <v>778838.48</v>
      </c>
    </row>
    <row r="75" spans="1:14" s="20" customFormat="1" ht="15">
      <c r="A75" s="26">
        <v>150000</v>
      </c>
      <c r="B75" s="27" t="s">
        <v>80</v>
      </c>
      <c r="C75" s="28">
        <f aca="true" t="shared" si="11" ref="C75:K75">SUM(C76:C77)</f>
        <v>0</v>
      </c>
      <c r="D75" s="28">
        <f t="shared" si="11"/>
        <v>0</v>
      </c>
      <c r="E75" s="28">
        <f t="shared" si="11"/>
        <v>0</v>
      </c>
      <c r="F75" s="28">
        <f t="shared" si="11"/>
        <v>1803212.4700000002</v>
      </c>
      <c r="G75" s="28">
        <f t="shared" si="11"/>
        <v>0</v>
      </c>
      <c r="H75" s="28">
        <f t="shared" si="11"/>
        <v>0</v>
      </c>
      <c r="I75" s="28">
        <f t="shared" si="11"/>
        <v>0</v>
      </c>
      <c r="J75" s="28">
        <f t="shared" si="11"/>
        <v>1803212.4700000002</v>
      </c>
      <c r="K75" s="28">
        <f t="shared" si="11"/>
        <v>1803212.4700000002</v>
      </c>
      <c r="L75" s="28">
        <f>SUM(L76:L77)</f>
        <v>0</v>
      </c>
      <c r="M75" s="28">
        <f t="shared" si="10"/>
        <v>1803212.4700000002</v>
      </c>
      <c r="N75" s="24"/>
    </row>
    <row r="76" spans="1:13" s="24" customFormat="1" ht="15">
      <c r="A76" s="22">
        <v>150101</v>
      </c>
      <c r="B76" s="21" t="s">
        <v>81</v>
      </c>
      <c r="C76" s="23"/>
      <c r="D76" s="23"/>
      <c r="E76" s="23"/>
      <c r="F76" s="23">
        <f>G76+J76</f>
        <v>1519928.2200000002</v>
      </c>
      <c r="G76" s="23"/>
      <c r="H76" s="23"/>
      <c r="I76" s="23"/>
      <c r="J76" s="23">
        <f>3821920-2681820+382848.02-30000+9977.09+17003.11</f>
        <v>1519928.2200000002</v>
      </c>
      <c r="K76" s="23">
        <f>3821920-2681820+382848.02-30000+9977.09+17003.11</f>
        <v>1519928.2200000002</v>
      </c>
      <c r="L76" s="23"/>
      <c r="M76" s="23">
        <f t="shared" si="10"/>
        <v>1519928.2200000002</v>
      </c>
    </row>
    <row r="77" spans="1:13" s="24" customFormat="1" ht="28.5">
      <c r="A77" s="10">
        <v>150202</v>
      </c>
      <c r="B77" s="11" t="s">
        <v>104</v>
      </c>
      <c r="C77" s="14"/>
      <c r="D77" s="14"/>
      <c r="E77" s="14"/>
      <c r="F77" s="14">
        <f>G77+J77</f>
        <v>283284.25</v>
      </c>
      <c r="G77" s="14"/>
      <c r="H77" s="14"/>
      <c r="I77" s="14"/>
      <c r="J77" s="14">
        <f>75854.02+124899.41+82530.82</f>
        <v>283284.25</v>
      </c>
      <c r="K77" s="14">
        <f>75854.02+124899.41+82530.82</f>
        <v>283284.25</v>
      </c>
      <c r="L77" s="14"/>
      <c r="M77" s="14">
        <f t="shared" si="10"/>
        <v>283284.25</v>
      </c>
    </row>
    <row r="78" spans="1:13" ht="47.25" customHeight="1">
      <c r="A78" s="8">
        <v>170000</v>
      </c>
      <c r="B78" s="18" t="s">
        <v>41</v>
      </c>
      <c r="C78" s="13">
        <f>SUM(C79:C82)</f>
        <v>1587066</v>
      </c>
      <c r="D78" s="13">
        <f>SUM(D79:D82)</f>
        <v>0</v>
      </c>
      <c r="E78" s="13">
        <f>SUM(E79:E82)</f>
        <v>0</v>
      </c>
      <c r="F78" s="13">
        <f>G78+J78</f>
        <v>4521677.9399999995</v>
      </c>
      <c r="G78" s="13">
        <f>SUM(G79:G83)</f>
        <v>2026612.3099999998</v>
      </c>
      <c r="H78" s="13">
        <f>SUM(H79:H83)</f>
        <v>0</v>
      </c>
      <c r="I78" s="13">
        <f>SUM(I79:I83)</f>
        <v>0</v>
      </c>
      <c r="J78" s="13">
        <f>SUM(J79:J83)</f>
        <v>2495065.63</v>
      </c>
      <c r="K78" s="13">
        <f>SUM(K79:K83)</f>
        <v>150000</v>
      </c>
      <c r="L78" s="13">
        <f>SUM(L79:L82)</f>
        <v>0</v>
      </c>
      <c r="M78" s="13">
        <f t="shared" si="10"/>
        <v>6108743.9399999995</v>
      </c>
    </row>
    <row r="79" spans="1:13" ht="42.75">
      <c r="A79" s="10">
        <v>170102</v>
      </c>
      <c r="B79" s="12" t="s">
        <v>42</v>
      </c>
      <c r="C79" s="14">
        <f>1502100+40000-10034</f>
        <v>1532066</v>
      </c>
      <c r="D79" s="14"/>
      <c r="E79" s="14"/>
      <c r="F79" s="14">
        <f aca="true" t="shared" si="12" ref="F79:F96">G79+J79</f>
        <v>0</v>
      </c>
      <c r="G79" s="14"/>
      <c r="H79" s="14"/>
      <c r="I79" s="14"/>
      <c r="J79" s="14"/>
      <c r="K79" s="14"/>
      <c r="L79" s="14"/>
      <c r="M79" s="14">
        <f t="shared" si="10"/>
        <v>1532066</v>
      </c>
    </row>
    <row r="80" spans="1:13" ht="48" customHeight="1">
      <c r="A80" s="10">
        <v>170302</v>
      </c>
      <c r="B80" s="12" t="s">
        <v>75</v>
      </c>
      <c r="C80" s="14">
        <f>55000</f>
        <v>55000</v>
      </c>
      <c r="D80" s="14"/>
      <c r="E80" s="14"/>
      <c r="F80" s="14">
        <f t="shared" si="12"/>
        <v>0</v>
      </c>
      <c r="G80" s="14"/>
      <c r="H80" s="14"/>
      <c r="I80" s="14"/>
      <c r="J80" s="14"/>
      <c r="K80" s="14"/>
      <c r="L80" s="14"/>
      <c r="M80" s="14">
        <f t="shared" si="10"/>
        <v>55000</v>
      </c>
    </row>
    <row r="81" spans="1:13" ht="90.75" customHeight="1">
      <c r="A81" s="22">
        <v>170703</v>
      </c>
      <c r="B81" s="12" t="s">
        <v>99</v>
      </c>
      <c r="C81" s="14"/>
      <c r="D81" s="14"/>
      <c r="E81" s="14"/>
      <c r="F81" s="23">
        <f t="shared" si="12"/>
        <v>1080941.33</v>
      </c>
      <c r="G81" s="14">
        <f>921500+9441.33-12500-20760</f>
        <v>897681.33</v>
      </c>
      <c r="H81" s="14"/>
      <c r="I81" s="14"/>
      <c r="J81" s="14">
        <f>150000+12500+20760</f>
        <v>183260</v>
      </c>
      <c r="K81" s="14">
        <f>150000</f>
        <v>150000</v>
      </c>
      <c r="L81" s="14"/>
      <c r="M81" s="23">
        <f t="shared" si="10"/>
        <v>1080941.33</v>
      </c>
    </row>
    <row r="82" spans="1:14" s="20" customFormat="1" ht="71.25">
      <c r="A82" s="22">
        <v>170703</v>
      </c>
      <c r="B82" s="21" t="s">
        <v>108</v>
      </c>
      <c r="C82" s="19"/>
      <c r="D82" s="19"/>
      <c r="E82" s="19"/>
      <c r="F82" s="23">
        <f t="shared" si="12"/>
        <v>2549236.61</v>
      </c>
      <c r="G82" s="23">
        <f>2343000+91102.4-1593200+2728.58</f>
        <v>843630.9799999999</v>
      </c>
      <c r="H82" s="23"/>
      <c r="I82" s="23"/>
      <c r="J82" s="23">
        <f>5.63+112400+1593200</f>
        <v>1705605.63</v>
      </c>
      <c r="K82" s="23"/>
      <c r="L82" s="23"/>
      <c r="M82" s="23">
        <f t="shared" si="10"/>
        <v>2549236.61</v>
      </c>
      <c r="N82" s="24"/>
    </row>
    <row r="83" spans="1:14" s="20" customFormat="1" ht="71.25">
      <c r="A83" s="22">
        <v>170703</v>
      </c>
      <c r="B83" s="21" t="s">
        <v>109</v>
      </c>
      <c r="C83" s="19"/>
      <c r="D83" s="19"/>
      <c r="E83" s="19"/>
      <c r="F83" s="23">
        <f>G83+J83</f>
        <v>891500</v>
      </c>
      <c r="G83" s="23">
        <f>285300</f>
        <v>285300</v>
      </c>
      <c r="H83" s="23"/>
      <c r="I83" s="23"/>
      <c r="J83" s="23">
        <f>606200</f>
        <v>606200</v>
      </c>
      <c r="K83" s="23"/>
      <c r="L83" s="23"/>
      <c r="M83" s="23">
        <f>C83+F83</f>
        <v>891500</v>
      </c>
      <c r="N83" s="24"/>
    </row>
    <row r="84" spans="1:14" s="20" customFormat="1" ht="30">
      <c r="A84" s="8">
        <v>180000</v>
      </c>
      <c r="B84" s="9" t="s">
        <v>102</v>
      </c>
      <c r="C84" s="13">
        <f>C85</f>
        <v>0</v>
      </c>
      <c r="D84" s="13">
        <f aca="true" t="shared" si="13" ref="D84:L84">D85</f>
        <v>0</v>
      </c>
      <c r="E84" s="13">
        <f t="shared" si="13"/>
        <v>0</v>
      </c>
      <c r="F84" s="13">
        <f t="shared" si="13"/>
        <v>480000</v>
      </c>
      <c r="G84" s="13">
        <f t="shared" si="13"/>
        <v>0</v>
      </c>
      <c r="H84" s="13">
        <f t="shared" si="13"/>
        <v>0</v>
      </c>
      <c r="I84" s="13">
        <f t="shared" si="13"/>
        <v>0</v>
      </c>
      <c r="J84" s="13">
        <f t="shared" si="13"/>
        <v>480000</v>
      </c>
      <c r="K84" s="13">
        <f t="shared" si="13"/>
        <v>480000</v>
      </c>
      <c r="L84" s="13">
        <f t="shared" si="13"/>
        <v>0</v>
      </c>
      <c r="M84" s="13">
        <f t="shared" si="10"/>
        <v>480000</v>
      </c>
      <c r="N84" s="24"/>
    </row>
    <row r="85" spans="1:14" s="20" customFormat="1" ht="71.25">
      <c r="A85" s="33">
        <v>180409</v>
      </c>
      <c r="B85" s="21" t="s">
        <v>103</v>
      </c>
      <c r="C85" s="14"/>
      <c r="D85" s="14"/>
      <c r="E85" s="14"/>
      <c r="F85" s="14">
        <f>G85+J85</f>
        <v>480000</v>
      </c>
      <c r="G85" s="14"/>
      <c r="H85" s="14"/>
      <c r="I85" s="14"/>
      <c r="J85" s="14">
        <f>30000+450000</f>
        <v>480000</v>
      </c>
      <c r="K85" s="14">
        <f>30000+450000</f>
        <v>480000</v>
      </c>
      <c r="L85" s="14"/>
      <c r="M85" s="14">
        <f t="shared" si="10"/>
        <v>480000</v>
      </c>
      <c r="N85" s="24"/>
    </row>
    <row r="86" spans="1:13" ht="45">
      <c r="A86" s="8">
        <v>210000</v>
      </c>
      <c r="B86" s="18" t="s">
        <v>43</v>
      </c>
      <c r="C86" s="13">
        <f aca="true" t="shared" si="14" ref="C86:L86">SUM(C87:C89)</f>
        <v>230363.53999999998</v>
      </c>
      <c r="D86" s="13">
        <f t="shared" si="14"/>
        <v>0</v>
      </c>
      <c r="E86" s="13">
        <f t="shared" si="14"/>
        <v>0</v>
      </c>
      <c r="F86" s="13">
        <f t="shared" si="14"/>
        <v>67920</v>
      </c>
      <c r="G86" s="13">
        <f t="shared" si="14"/>
        <v>0</v>
      </c>
      <c r="H86" s="13">
        <f t="shared" si="14"/>
        <v>0</v>
      </c>
      <c r="I86" s="13">
        <f t="shared" si="14"/>
        <v>0</v>
      </c>
      <c r="J86" s="13">
        <f t="shared" si="14"/>
        <v>67920</v>
      </c>
      <c r="K86" s="13">
        <f t="shared" si="14"/>
        <v>67920</v>
      </c>
      <c r="L86" s="13">
        <f t="shared" si="14"/>
        <v>67920</v>
      </c>
      <c r="M86" s="13">
        <f t="shared" si="10"/>
        <v>298283.54</v>
      </c>
    </row>
    <row r="87" spans="1:13" ht="42.75">
      <c r="A87" s="10">
        <v>210105</v>
      </c>
      <c r="B87" s="12" t="s">
        <v>110</v>
      </c>
      <c r="C87" s="14">
        <f>17282.2+16392+10784.03+15905.31</f>
        <v>60363.53999999999</v>
      </c>
      <c r="D87" s="13"/>
      <c r="E87" s="13"/>
      <c r="F87" s="14">
        <f t="shared" si="12"/>
        <v>67920</v>
      </c>
      <c r="G87" s="13"/>
      <c r="H87" s="13"/>
      <c r="I87" s="13"/>
      <c r="J87" s="13">
        <f>67920</f>
        <v>67920</v>
      </c>
      <c r="K87" s="13">
        <f>67920</f>
        <v>67920</v>
      </c>
      <c r="L87" s="13">
        <f>67920</f>
        <v>67920</v>
      </c>
      <c r="M87" s="31">
        <f t="shared" si="10"/>
        <v>128283.54</v>
      </c>
    </row>
    <row r="88" spans="1:13" ht="57">
      <c r="A88" s="34">
        <v>210106</v>
      </c>
      <c r="B88" s="35" t="s">
        <v>105</v>
      </c>
      <c r="C88" s="29"/>
      <c r="D88" s="29"/>
      <c r="E88" s="29"/>
      <c r="F88" s="31">
        <f>G88+J88</f>
        <v>0</v>
      </c>
      <c r="G88" s="29"/>
      <c r="H88" s="29"/>
      <c r="I88" s="29"/>
      <c r="J88" s="31">
        <f>30000-30000</f>
        <v>0</v>
      </c>
      <c r="K88" s="31">
        <f>30000-30000</f>
        <v>0</v>
      </c>
      <c r="L88" s="29"/>
      <c r="M88" s="31">
        <f t="shared" si="10"/>
        <v>0</v>
      </c>
    </row>
    <row r="89" spans="1:13" ht="28.5">
      <c r="A89" s="10">
        <v>210110</v>
      </c>
      <c r="B89" s="12" t="s">
        <v>44</v>
      </c>
      <c r="C89" s="14">
        <f>170000</f>
        <v>170000</v>
      </c>
      <c r="D89" s="14"/>
      <c r="E89" s="14"/>
      <c r="F89" s="14">
        <f t="shared" si="12"/>
        <v>0</v>
      </c>
      <c r="G89" s="14"/>
      <c r="H89" s="14"/>
      <c r="I89" s="14"/>
      <c r="J89" s="14"/>
      <c r="K89" s="14"/>
      <c r="L89" s="14"/>
      <c r="M89" s="14">
        <f t="shared" si="10"/>
        <v>170000</v>
      </c>
    </row>
    <row r="90" spans="1:13" ht="15">
      <c r="A90" s="8">
        <v>240000</v>
      </c>
      <c r="B90" s="18" t="s">
        <v>45</v>
      </c>
      <c r="C90" s="13">
        <f aca="true" t="shared" si="15" ref="C90:L90">SUM(C91:C92)</f>
        <v>0</v>
      </c>
      <c r="D90" s="13">
        <f t="shared" si="15"/>
        <v>0</v>
      </c>
      <c r="E90" s="13">
        <f t="shared" si="15"/>
        <v>0</v>
      </c>
      <c r="F90" s="13">
        <f t="shared" si="15"/>
        <v>86688.1</v>
      </c>
      <c r="G90" s="13">
        <f t="shared" si="15"/>
        <v>86688.1</v>
      </c>
      <c r="H90" s="13">
        <f t="shared" si="15"/>
        <v>0</v>
      </c>
      <c r="I90" s="13">
        <f t="shared" si="15"/>
        <v>0</v>
      </c>
      <c r="J90" s="13">
        <f t="shared" si="15"/>
        <v>0</v>
      </c>
      <c r="K90" s="13">
        <f t="shared" si="15"/>
        <v>0</v>
      </c>
      <c r="L90" s="13">
        <f t="shared" si="15"/>
        <v>0</v>
      </c>
      <c r="M90" s="13">
        <f t="shared" si="10"/>
        <v>86688.1</v>
      </c>
    </row>
    <row r="91" spans="1:13" ht="28.5">
      <c r="A91" s="10">
        <v>240601</v>
      </c>
      <c r="B91" s="12" t="s">
        <v>46</v>
      </c>
      <c r="C91" s="14"/>
      <c r="D91" s="14"/>
      <c r="E91" s="14"/>
      <c r="F91" s="14">
        <f t="shared" si="12"/>
        <v>53188.1</v>
      </c>
      <c r="G91" s="14">
        <f>50000+3188.1</f>
        <v>53188.1</v>
      </c>
      <c r="H91" s="14"/>
      <c r="I91" s="14"/>
      <c r="J91" s="14"/>
      <c r="K91" s="14"/>
      <c r="L91" s="14"/>
      <c r="M91" s="14">
        <f t="shared" si="10"/>
        <v>53188.1</v>
      </c>
    </row>
    <row r="92" spans="1:13" ht="15">
      <c r="A92" s="10">
        <v>240602</v>
      </c>
      <c r="B92" s="12" t="s">
        <v>70</v>
      </c>
      <c r="C92" s="14"/>
      <c r="D92" s="14"/>
      <c r="E92" s="14"/>
      <c r="F92" s="14">
        <f t="shared" si="12"/>
        <v>33500</v>
      </c>
      <c r="G92" s="14">
        <f>33500</f>
        <v>33500</v>
      </c>
      <c r="H92" s="14"/>
      <c r="I92" s="14"/>
      <c r="J92" s="14"/>
      <c r="K92" s="14"/>
      <c r="L92" s="14"/>
      <c r="M92" s="14">
        <f t="shared" si="10"/>
        <v>33500</v>
      </c>
    </row>
    <row r="93" spans="1:13" ht="30">
      <c r="A93" s="8">
        <v>250000</v>
      </c>
      <c r="B93" s="18" t="s">
        <v>47</v>
      </c>
      <c r="C93" s="13">
        <f>SUM(C94:C96)</f>
        <v>2426847.14</v>
      </c>
      <c r="D93" s="13">
        <f>SUM(D94:D96)</f>
        <v>0</v>
      </c>
      <c r="E93" s="13">
        <f>SUM(E94:E96)</f>
        <v>1396636.3</v>
      </c>
      <c r="F93" s="13">
        <f>G93+J93</f>
        <v>0</v>
      </c>
      <c r="G93" s="13">
        <f aca="true" t="shared" si="16" ref="G93:L93">SUM(G94:G96)</f>
        <v>0</v>
      </c>
      <c r="H93" s="13">
        <f t="shared" si="16"/>
        <v>0</v>
      </c>
      <c r="I93" s="13">
        <f t="shared" si="16"/>
        <v>0</v>
      </c>
      <c r="J93" s="13">
        <f t="shared" si="16"/>
        <v>0</v>
      </c>
      <c r="K93" s="13">
        <f t="shared" si="16"/>
        <v>0</v>
      </c>
      <c r="L93" s="13">
        <f t="shared" si="16"/>
        <v>0</v>
      </c>
      <c r="M93" s="13">
        <f t="shared" si="10"/>
        <v>2426847.14</v>
      </c>
    </row>
    <row r="94" spans="1:13" ht="15">
      <c r="A94" s="10">
        <v>250102</v>
      </c>
      <c r="B94" s="12" t="s">
        <v>48</v>
      </c>
      <c r="C94" s="14">
        <f>140000-17282.2-15905.31-10784.03-16392-67920</f>
        <v>11716.460000000006</v>
      </c>
      <c r="D94" s="14"/>
      <c r="E94" s="14"/>
      <c r="F94" s="14">
        <f t="shared" si="12"/>
        <v>0</v>
      </c>
      <c r="G94" s="14"/>
      <c r="H94" s="14"/>
      <c r="I94" s="14"/>
      <c r="J94" s="14"/>
      <c r="K94" s="14"/>
      <c r="L94" s="14"/>
      <c r="M94" s="14">
        <f t="shared" si="10"/>
        <v>11716.460000000006</v>
      </c>
    </row>
    <row r="95" spans="1:13" ht="42.75">
      <c r="A95" s="30">
        <v>250403</v>
      </c>
      <c r="B95" s="12" t="s">
        <v>100</v>
      </c>
      <c r="C95" s="14">
        <f>215102.07+1875034.21+24165.52+971.22-142.34</f>
        <v>2115130.68</v>
      </c>
      <c r="D95" s="14"/>
      <c r="E95" s="25">
        <f>2447.71+1394188.59</f>
        <v>1396636.3</v>
      </c>
      <c r="F95" s="14">
        <f t="shared" si="12"/>
        <v>0</v>
      </c>
      <c r="G95" s="14"/>
      <c r="H95" s="14"/>
      <c r="I95" s="14"/>
      <c r="J95" s="14"/>
      <c r="K95" s="14"/>
      <c r="L95" s="14"/>
      <c r="M95" s="14">
        <f t="shared" si="10"/>
        <v>2115130.68</v>
      </c>
    </row>
    <row r="96" spans="1:13" ht="15">
      <c r="A96" s="10">
        <v>250404</v>
      </c>
      <c r="B96" s="12" t="s">
        <v>49</v>
      </c>
      <c r="C96" s="14">
        <f>300000</f>
        <v>300000</v>
      </c>
      <c r="D96" s="14"/>
      <c r="E96" s="14"/>
      <c r="F96" s="14">
        <f t="shared" si="12"/>
        <v>0</v>
      </c>
      <c r="G96" s="14"/>
      <c r="H96" s="14"/>
      <c r="I96" s="14"/>
      <c r="J96" s="14"/>
      <c r="K96" s="14"/>
      <c r="L96" s="14"/>
      <c r="M96" s="14">
        <f t="shared" si="10"/>
        <v>300000</v>
      </c>
    </row>
    <row r="97" spans="1:13" ht="15">
      <c r="A97" s="50" t="s">
        <v>56</v>
      </c>
      <c r="B97" s="51"/>
      <c r="C97" s="13">
        <f>C93+C90+C86+C78+C75+C72+C69+C63+C59+C22+C13+C11+C84</f>
        <v>110488746.82</v>
      </c>
      <c r="D97" s="13">
        <f aca="true" t="shared" si="17" ref="D97:L97">D93+D90+D86+D78+D75+D72+D69+D63+D59+D22+D13+D11+D84</f>
        <v>32436132.93</v>
      </c>
      <c r="E97" s="13">
        <f t="shared" si="17"/>
        <v>5949820.930000001</v>
      </c>
      <c r="F97" s="13">
        <f t="shared" si="17"/>
        <v>12984584.87</v>
      </c>
      <c r="G97" s="13">
        <f t="shared" si="17"/>
        <v>4632559.41</v>
      </c>
      <c r="H97" s="13">
        <f t="shared" si="17"/>
        <v>581895</v>
      </c>
      <c r="I97" s="13">
        <f t="shared" si="17"/>
        <v>231250</v>
      </c>
      <c r="J97" s="13">
        <f t="shared" si="17"/>
        <v>8352025.459999999</v>
      </c>
      <c r="K97" s="13">
        <f t="shared" si="17"/>
        <v>5895199.83</v>
      </c>
      <c r="L97" s="13">
        <f t="shared" si="17"/>
        <v>167920</v>
      </c>
      <c r="M97" s="13">
        <f t="shared" si="10"/>
        <v>123473331.69</v>
      </c>
    </row>
    <row r="98" spans="1:13" ht="15">
      <c r="A98" s="8" t="s">
        <v>50</v>
      </c>
      <c r="B98" s="9"/>
      <c r="C98" s="13">
        <f>C99</f>
        <v>19367900</v>
      </c>
      <c r="D98" s="13">
        <f>D99</f>
        <v>0</v>
      </c>
      <c r="E98" s="13">
        <f>E99</f>
        <v>0</v>
      </c>
      <c r="F98" s="13">
        <f>G98+J98</f>
        <v>248000</v>
      </c>
      <c r="G98" s="13">
        <f aca="true" t="shared" si="18" ref="G98:L98">G99</f>
        <v>0</v>
      </c>
      <c r="H98" s="13">
        <f t="shared" si="18"/>
        <v>0</v>
      </c>
      <c r="I98" s="13">
        <f t="shared" si="18"/>
        <v>0</v>
      </c>
      <c r="J98" s="13">
        <f t="shared" si="18"/>
        <v>248000</v>
      </c>
      <c r="K98" s="13">
        <f t="shared" si="18"/>
        <v>248000</v>
      </c>
      <c r="L98" s="13">
        <f t="shared" si="18"/>
        <v>0</v>
      </c>
      <c r="M98" s="13">
        <f t="shared" si="10"/>
        <v>19615900</v>
      </c>
    </row>
    <row r="99" spans="1:13" ht="15">
      <c r="A99" s="55" t="s">
        <v>51</v>
      </c>
      <c r="B99" s="56"/>
      <c r="C99" s="13">
        <f>SUM(C100:C101)</f>
        <v>19367900</v>
      </c>
      <c r="D99" s="13">
        <f aca="true" t="shared" si="19" ref="D99:L99">SUM(D100:D101)</f>
        <v>0</v>
      </c>
      <c r="E99" s="13">
        <f t="shared" si="19"/>
        <v>0</v>
      </c>
      <c r="F99" s="13">
        <f t="shared" si="19"/>
        <v>248000</v>
      </c>
      <c r="G99" s="13">
        <f t="shared" si="19"/>
        <v>0</v>
      </c>
      <c r="H99" s="13">
        <f t="shared" si="19"/>
        <v>0</v>
      </c>
      <c r="I99" s="13">
        <f t="shared" si="19"/>
        <v>0</v>
      </c>
      <c r="J99" s="13">
        <f t="shared" si="19"/>
        <v>248000</v>
      </c>
      <c r="K99" s="13">
        <f t="shared" si="19"/>
        <v>248000</v>
      </c>
      <c r="L99" s="13">
        <f t="shared" si="19"/>
        <v>0</v>
      </c>
      <c r="M99" s="13">
        <f t="shared" si="10"/>
        <v>19615900</v>
      </c>
    </row>
    <row r="100" spans="1:13" ht="57">
      <c r="A100" s="36">
        <v>250344</v>
      </c>
      <c r="B100" s="37" t="s">
        <v>106</v>
      </c>
      <c r="C100" s="25"/>
      <c r="D100" s="25"/>
      <c r="E100" s="25"/>
      <c r="F100" s="25">
        <f>G100+J100</f>
        <v>248000</v>
      </c>
      <c r="G100" s="25"/>
      <c r="H100" s="25"/>
      <c r="I100" s="25"/>
      <c r="J100" s="25">
        <f>548000-250000-50000</f>
        <v>248000</v>
      </c>
      <c r="K100" s="25">
        <f>548000-250000-50000</f>
        <v>248000</v>
      </c>
      <c r="L100" s="25"/>
      <c r="M100" s="25">
        <f t="shared" si="10"/>
        <v>248000</v>
      </c>
    </row>
    <row r="101" spans="1:13" ht="57">
      <c r="A101" s="10">
        <v>250352</v>
      </c>
      <c r="B101" s="11" t="s">
        <v>90</v>
      </c>
      <c r="C101" s="14">
        <f>19367900</f>
        <v>19367900</v>
      </c>
      <c r="D101" s="14"/>
      <c r="E101" s="14"/>
      <c r="F101" s="14">
        <f>G101+J101</f>
        <v>0</v>
      </c>
      <c r="G101" s="14"/>
      <c r="H101" s="14"/>
      <c r="I101" s="14"/>
      <c r="J101" s="14"/>
      <c r="K101" s="14"/>
      <c r="L101" s="14"/>
      <c r="M101" s="14">
        <f t="shared" si="10"/>
        <v>19367900</v>
      </c>
    </row>
    <row r="102" spans="1:13" ht="15">
      <c r="A102" s="50" t="s">
        <v>55</v>
      </c>
      <c r="B102" s="51"/>
      <c r="C102" s="13">
        <f>C98+C97</f>
        <v>129856646.82</v>
      </c>
      <c r="D102" s="13">
        <f aca="true" t="shared" si="20" ref="D102:M102">D98+D97</f>
        <v>32436132.93</v>
      </c>
      <c r="E102" s="13">
        <f t="shared" si="20"/>
        <v>5949820.930000001</v>
      </c>
      <c r="F102" s="13">
        <f t="shared" si="20"/>
        <v>13232584.87</v>
      </c>
      <c r="G102" s="13">
        <f t="shared" si="20"/>
        <v>4632559.41</v>
      </c>
      <c r="H102" s="13">
        <f t="shared" si="20"/>
        <v>581895</v>
      </c>
      <c r="I102" s="13">
        <f t="shared" si="20"/>
        <v>231250</v>
      </c>
      <c r="J102" s="13">
        <f t="shared" si="20"/>
        <v>8600025.459999999</v>
      </c>
      <c r="K102" s="13">
        <f t="shared" si="20"/>
        <v>6143199.83</v>
      </c>
      <c r="L102" s="13">
        <f t="shared" si="20"/>
        <v>167920</v>
      </c>
      <c r="M102" s="13">
        <f t="shared" si="20"/>
        <v>143089231.69</v>
      </c>
    </row>
    <row r="103" spans="3:11" ht="15">
      <c r="C103" s="15"/>
      <c r="F103" s="15"/>
      <c r="K103" s="15"/>
    </row>
    <row r="104" spans="2:7" ht="15">
      <c r="B104" s="1" t="s">
        <v>52</v>
      </c>
      <c r="D104" s="52"/>
      <c r="E104" s="52"/>
      <c r="G104" s="1" t="s">
        <v>53</v>
      </c>
    </row>
    <row r="105" ht="15">
      <c r="E105" s="15"/>
    </row>
    <row r="106" spans="3:13" ht="81.75" customHeight="1">
      <c r="C106" s="15"/>
      <c r="D106" s="52"/>
      <c r="E106" s="52"/>
      <c r="F106" s="15"/>
      <c r="G106" s="52"/>
      <c r="H106" s="52"/>
      <c r="I106" s="53"/>
      <c r="K106" s="15"/>
      <c r="M106" s="15"/>
    </row>
    <row r="107" spans="3:13" ht="15">
      <c r="C107" s="15"/>
      <c r="D107" s="15"/>
      <c r="E107" s="15"/>
      <c r="F107" s="15"/>
      <c r="G107" s="53"/>
      <c r="H107" s="53"/>
      <c r="I107" s="53"/>
      <c r="J107" s="15"/>
      <c r="K107" s="15"/>
      <c r="L107" s="15"/>
      <c r="M107" s="15"/>
    </row>
    <row r="108" spans="3:13" ht="15">
      <c r="C108" s="15"/>
      <c r="D108" s="15"/>
      <c r="E108" s="15"/>
      <c r="F108" s="15"/>
      <c r="G108" s="15"/>
      <c r="H108" s="15"/>
      <c r="I108" s="15"/>
      <c r="J108" s="15"/>
      <c r="K108" s="15"/>
      <c r="L108" s="15"/>
      <c r="M108" s="15"/>
    </row>
    <row r="109" spans="3:13" ht="15">
      <c r="C109" s="15"/>
      <c r="D109" s="15"/>
      <c r="E109" s="15"/>
      <c r="F109" s="15"/>
      <c r="G109" s="15"/>
      <c r="H109" s="15"/>
      <c r="I109" s="15"/>
      <c r="J109" s="15"/>
      <c r="K109" s="15"/>
      <c r="L109" s="15"/>
      <c r="M109" s="15"/>
    </row>
    <row r="110" ht="15">
      <c r="E110" s="15"/>
    </row>
    <row r="111" spans="3:13" ht="77.25" customHeight="1">
      <c r="C111" s="15"/>
      <c r="D111" s="52"/>
      <c r="E111" s="52"/>
      <c r="F111" s="15"/>
      <c r="G111" s="52"/>
      <c r="H111" s="52"/>
      <c r="I111" s="53"/>
      <c r="K111" s="15"/>
      <c r="L111" s="54"/>
      <c r="M111" s="15"/>
    </row>
    <row r="112" spans="3:13" ht="15">
      <c r="C112" s="15"/>
      <c r="D112" s="15"/>
      <c r="E112" s="15"/>
      <c r="F112" s="15"/>
      <c r="G112" s="53"/>
      <c r="H112" s="53"/>
      <c r="I112" s="53"/>
      <c r="J112" s="15"/>
      <c r="K112" s="15"/>
      <c r="L112" s="54"/>
      <c r="M112" s="15"/>
    </row>
    <row r="113" spans="3:13" ht="15">
      <c r="C113" s="15"/>
      <c r="D113" s="15"/>
      <c r="E113" s="15"/>
      <c r="F113" s="15"/>
      <c r="G113" s="15"/>
      <c r="H113" s="15"/>
      <c r="I113" s="15"/>
      <c r="J113" s="15"/>
      <c r="K113" s="15"/>
      <c r="L113" s="15"/>
      <c r="M113" s="15"/>
    </row>
    <row r="114" spans="3:13" ht="15">
      <c r="C114" s="15"/>
      <c r="D114" s="15"/>
      <c r="E114" s="15"/>
      <c r="F114" s="15"/>
      <c r="G114" s="15"/>
      <c r="H114" s="15"/>
      <c r="I114" s="15"/>
      <c r="J114" s="15"/>
      <c r="K114" s="15"/>
      <c r="L114" s="15"/>
      <c r="M114" s="15"/>
    </row>
    <row r="116" spans="3:13" ht="60" customHeight="1">
      <c r="C116" s="15"/>
      <c r="D116" s="52"/>
      <c r="E116" s="52"/>
      <c r="F116" s="15"/>
      <c r="G116" s="52"/>
      <c r="H116" s="52"/>
      <c r="I116" s="53"/>
      <c r="K116" s="15"/>
      <c r="L116" s="54"/>
      <c r="M116" s="15"/>
    </row>
    <row r="117" spans="3:13" ht="27.75" customHeight="1">
      <c r="C117" s="15"/>
      <c r="F117" s="15"/>
      <c r="G117" s="53"/>
      <c r="H117" s="53"/>
      <c r="I117" s="53"/>
      <c r="K117" s="15"/>
      <c r="L117" s="54"/>
      <c r="M117" s="15"/>
    </row>
    <row r="118" spans="3:13" ht="15">
      <c r="C118" s="15"/>
      <c r="D118" s="15"/>
      <c r="E118" s="15"/>
      <c r="F118" s="15"/>
      <c r="G118" s="15"/>
      <c r="H118" s="15"/>
      <c r="I118" s="15"/>
      <c r="J118" s="15"/>
      <c r="K118" s="15"/>
      <c r="L118" s="15"/>
      <c r="M118" s="15"/>
    </row>
    <row r="119" spans="3:13" ht="15">
      <c r="C119" s="15"/>
      <c r="D119" s="15"/>
      <c r="E119" s="15"/>
      <c r="F119" s="15"/>
      <c r="G119" s="15"/>
      <c r="H119" s="15"/>
      <c r="I119" s="15"/>
      <c r="J119" s="15"/>
      <c r="K119" s="15"/>
      <c r="L119" s="15"/>
      <c r="M119" s="15"/>
    </row>
    <row r="124" spans="3:5" ht="15">
      <c r="C124" s="15"/>
      <c r="E124" s="15"/>
    </row>
  </sheetData>
  <sheetProtection/>
  <mergeCells count="32">
    <mergeCell ref="A99:B99"/>
    <mergeCell ref="A6:A9"/>
    <mergeCell ref="B6:B9"/>
    <mergeCell ref="A97:B97"/>
    <mergeCell ref="D116:E116"/>
    <mergeCell ref="L116:L117"/>
    <mergeCell ref="G116:I117"/>
    <mergeCell ref="L111:L112"/>
    <mergeCell ref="A102:B102"/>
    <mergeCell ref="D104:E104"/>
    <mergeCell ref="D111:E111"/>
    <mergeCell ref="G111:I112"/>
    <mergeCell ref="D106:E106"/>
    <mergeCell ref="G106:I107"/>
    <mergeCell ref="J2:M2"/>
    <mergeCell ref="A4:M4"/>
    <mergeCell ref="C6:E6"/>
    <mergeCell ref="I8:I9"/>
    <mergeCell ref="G7:G9"/>
    <mergeCell ref="H7:I7"/>
    <mergeCell ref="E8:E9"/>
    <mergeCell ref="C7:C9"/>
    <mergeCell ref="A3:M3"/>
    <mergeCell ref="K7:L7"/>
    <mergeCell ref="M6:M9"/>
    <mergeCell ref="F7:F9"/>
    <mergeCell ref="H8:H9"/>
    <mergeCell ref="D7:E7"/>
    <mergeCell ref="J7:J9"/>
    <mergeCell ref="F6:L6"/>
    <mergeCell ref="K8:K9"/>
    <mergeCell ref="D8:D9"/>
  </mergeCells>
  <printOptions/>
  <pageMargins left="0.11811023622047245" right="0" top="0.1968503937007874" bottom="0.3937007874015748" header="0" footer="0"/>
  <pageSetup horizontalDpi="600" verticalDpi="600" orientation="landscape" paperSize="9" scale="6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2013-07-29T10:24:32Z</cp:lastPrinted>
  <dcterms:created xsi:type="dcterms:W3CDTF">2010-04-28T10:22:23Z</dcterms:created>
  <dcterms:modified xsi:type="dcterms:W3CDTF">2013-07-29T10:24:35Z</dcterms:modified>
  <cp:category/>
  <cp:version/>
  <cp:contentType/>
  <cp:contentStatus/>
</cp:coreProperties>
</file>