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'Лист1'!$A$1:$N$138</definedName>
  </definedNames>
  <calcPr fullCalcOnLoad="1"/>
</workbook>
</file>

<file path=xl/sharedStrings.xml><?xml version="1.0" encoding="utf-8"?>
<sst xmlns="http://schemas.openxmlformats.org/spreadsheetml/2006/main" count="228" uniqueCount="192">
  <si>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</si>
  <si>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</si>
  <si>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</si>
  <si>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</si>
  <si>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</si>
  <si>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</si>
  <si>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</si>
  <si>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</si>
  <si>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</si>
  <si>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</si>
  <si>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</si>
  <si>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</si>
  <si>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</si>
  <si>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</si>
  <si>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</si>
  <si>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</si>
  <si>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</si>
  <si>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</si>
  <si>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</si>
  <si>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</si>
  <si>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</si>
  <si>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</si>
  <si>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</si>
  <si>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</si>
  <si>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</si>
  <si>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</si>
  <si>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</si>
  <si>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</si>
  <si>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</si>
  <si>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</si>
  <si>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</si>
  <si>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</si>
  <si>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</si>
  <si>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</si>
  <si>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</si>
  <si>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</si>
  <si>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</si>
  <si>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</si>
  <si>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</si>
  <si>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</si>
  <si>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</si>
  <si>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</si>
  <si>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</si>
  <si>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</si>
  <si>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</si>
  <si>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</si>
  <si>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</si>
  <si>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</si>
  <si>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</si>
  <si>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</si>
  <si>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</si>
  <si>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</si>
  <si>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</si>
  <si>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</si>
  <si>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</si>
  <si>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</si>
  <si>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</si>
  <si>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</si>
  <si>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</si>
  <si>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</si>
  <si>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</si>
  <si>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</si>
  <si>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</si>
  <si>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</si>
  <si>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</si>
  <si>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</si>
  <si>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</si>
  <si>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</si>
  <si>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</si>
  <si>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</si>
  <si>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</si>
  <si>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</si>
  <si>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</si>
  <si>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</si>
  <si>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</si>
  <si>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</si>
  <si>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</si>
  <si>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</si>
  <si>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</si>
  <si>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</si>
  <si>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</si>
  <si>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</si>
  <si>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</si>
  <si>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</si>
  <si>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</si>
  <si>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</si>
  <si>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</si>
  <si>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</si>
  <si>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</si>
  <si>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</si>
  <si>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</si>
  <si>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</si>
  <si>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</si>
  <si>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</si>
  <si>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</si>
  <si>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</si>
  <si>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</si>
  <si>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</si>
  <si>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</si>
  <si>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</si>
  <si>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</si>
  <si>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</si>
  <si>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</si>
  <si>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</si>
  <si>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</si>
  <si>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0316080</t>
  </si>
  <si>
    <t>2414060</t>
  </si>
  <si>
    <t>2414090</t>
  </si>
  <si>
    <t>2414100</t>
  </si>
  <si>
    <t>0317110</t>
  </si>
  <si>
    <t>0317120</t>
  </si>
  <si>
    <t>0315010</t>
  </si>
  <si>
    <t>0310220</t>
  </si>
  <si>
    <t>0313850</t>
  </si>
  <si>
    <t>0313900</t>
  </si>
  <si>
    <t>0313920</t>
  </si>
  <si>
    <t>0314800</t>
  </si>
  <si>
    <t>0316310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</si>
  <si>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</si>
  <si>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</si>
  <si>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</si>
  <si>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</si>
  <si>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</si>
  <si>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</si>
  <si>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</si>
  <si>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</si>
  <si>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</si>
  <si>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</si>
  <si>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</si>
  <si>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</si>
  <si>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</si>
  <si>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</si>
  <si>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</si>
  <si>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</si>
  <si>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</si>
  <si>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</si>
  <si>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</si>
  <si>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</si>
  <si>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</si>
  <si>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</si>
  <si>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</si>
  <si>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</si>
  <si>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</si>
  <si>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</si>
  <si>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</si>
  <si>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</si>
  <si>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</si>
  <si>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</si>
  <si>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</si>
  <si>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</si>
  <si>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</si>
  <si>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</si>
  <si>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</si>
  <si>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</si>
  <si>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</si>
  <si>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</si>
  <si>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</si>
  <si>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</si>
  <si>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</si>
  <si>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</si>
  <si>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</si>
  <si>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</si>
  <si>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</si>
  <si>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</si>
  <si>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</si>
  <si>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</si>
  <si>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0313820</t>
  </si>
  <si>
    <t>Назва відповідального виконавця бюджетної програми</t>
  </si>
  <si>
    <t>Найменування коду програмної класифікації видатків та кредитування місцевих бюджетів</t>
  </si>
  <si>
    <t>Код  КТКВ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</si>
  <si>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</si>
  <si>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Капітальний ремонт житлового фонду місцевих органів влади</t>
  </si>
  <si>
    <t>Водопровідно - каналізаційне господарство</t>
  </si>
  <si>
    <t>0316020</t>
  </si>
  <si>
    <t>0316070</t>
  </si>
  <si>
    <t>Розробка схем та проектних рішень масового застосування</t>
  </si>
  <si>
    <t>0316460</t>
  </si>
  <si>
    <t>Заходи у сфері захисту населення і територій від надзвичайних ситуацій техногенного та природного характеру</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</si>
  <si>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</si>
  <si>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</si>
  <si>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Видатки на покриття інших заборгованостей, що виникли в попередні роки</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</si>
  <si>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</si>
  <si>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</si>
  <si>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Управління соціального захисту населення виконавчого комітету міської ради</t>
  </si>
  <si>
    <t>Інші заходи у сфері автомобільного транспорту</t>
  </si>
  <si>
    <t>Старокостянтинівська ЖЕК</t>
  </si>
  <si>
    <t>Розподіл видатків по бюджету міста Старокостянтинова на 2014 рік</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</si>
  <si>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</si>
  <si>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соціально-економічного та культурного розвитку районів</t>
  </si>
  <si>
    <t>Погашення заборгованості з різниці в тарифах на теплову енергію, послуги з центрального водопостачання та  водовідведення, що випробллялсия, транспортувалися та постачалися населенню, яка виникла у зв"язку з невідповідністю фактичної вартості</t>
  </si>
  <si>
    <t>до  рішення 40 сесії міської ради від 04.06.2014р. №4  "Про внесення змін до бюджету міста на 2014 рік"</t>
  </si>
  <si>
    <t>0318390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</si>
</sst>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8">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4"/>
      <name val="Times New Roman"/>
      <family val="1"/>
    </font>
    <font>
      <sz val="11"/>
      <name val="Arial"/>
      <family val="2"/>
    </font>
    <font>
      <b/>
      <sz val="11"/>
      <name val="Arial"/>
      <family val="2"/>
    </font>
    <font>
      <sz val="11"/>
      <name val="Calibri"/>
      <family val="2"/>
    </font>
    <font>
      <sz val="9"/>
      <color indexed="8"/>
      <name val="Calibri"/>
      <family val="2"/>
    </font>
    <font>
      <sz val="11"/>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4" borderId="0" applyNumberFormat="0" applyBorder="0" applyAlignment="0" applyProtection="0"/>
  </cellStyleXfs>
  <cellXfs count="69">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49" fontId="0" fillId="0" borderId="10" xfId="0" applyNumberFormat="1" applyBorder="1" applyAlignment="1">
      <alignment vertical="top"/>
    </xf>
    <xf numFmtId="0" fontId="2" fillId="0" borderId="10" xfId="0" applyFont="1" applyFill="1" applyBorder="1" applyAlignment="1">
      <alignment vertical="top"/>
    </xf>
    <xf numFmtId="0" fontId="2" fillId="0" borderId="10" xfId="0" applyFont="1" applyBorder="1" applyAlignment="1">
      <alignment vertical="top" wrapText="1"/>
    </xf>
    <xf numFmtId="2" fontId="2"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top"/>
    </xf>
    <xf numFmtId="0" fontId="0" fillId="0" borderId="0" xfId="0" applyAlignment="1">
      <alignmen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49" fontId="1" fillId="0" borderId="10" xfId="0" applyNumberFormat="1" applyFont="1" applyBorder="1" applyAlignment="1">
      <alignment vertical="top"/>
    </xf>
    <xf numFmtId="0" fontId="3" fillId="0" borderId="10" xfId="0" applyFont="1" applyFill="1" applyBorder="1" applyAlignment="1">
      <alignment vertical="top"/>
    </xf>
    <xf numFmtId="2" fontId="3" fillId="0" borderId="10" xfId="0" applyNumberFormat="1" applyFont="1" applyFill="1" applyBorder="1" applyAlignment="1">
      <alignment horizontal="center"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49" fontId="8" fillId="0" borderId="10" xfId="0" applyNumberFormat="1" applyFont="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0" fontId="8" fillId="0" borderId="0" xfId="0" applyFont="1" applyAlignment="1">
      <alignment/>
    </xf>
    <xf numFmtId="2" fontId="2" fillId="0" borderId="10" xfId="0" applyNumberFormat="1" applyFont="1" applyFill="1" applyBorder="1" applyAlignment="1">
      <alignment horizontal="center" vertical="center"/>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horizontal="right" vertical="top"/>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2" fontId="3" fillId="0" borderId="10" xfId="0" applyNumberFormat="1" applyFont="1" applyFill="1" applyBorder="1" applyAlignment="1">
      <alignment horizontal="center" vertical="center"/>
    </xf>
    <xf numFmtId="49" fontId="0" fillId="0" borderId="10" xfId="0" applyNumberFormat="1" applyBorder="1" applyAlignment="1">
      <alignment/>
    </xf>
    <xf numFmtId="2" fontId="2" fillId="0" borderId="10" xfId="0" applyNumberFormat="1" applyFont="1" applyFill="1" applyBorder="1" applyAlignment="1">
      <alignment horizontal="right" vertical="center"/>
    </xf>
    <xf numFmtId="2" fontId="6"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6" fillId="0" borderId="10" xfId="0" applyNumberFormat="1" applyFont="1" applyFill="1" applyBorder="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6" fillId="0" borderId="10" xfId="0" applyFont="1" applyBorder="1" applyAlignment="1">
      <alignment horizontal="center" vertical="center" wrapText="1"/>
    </xf>
    <xf numFmtId="0" fontId="2" fillId="0" borderId="12" xfId="0" applyFont="1" applyFill="1" applyBorder="1" applyAlignment="1">
      <alignment vertical="center"/>
    </xf>
    <xf numFmtId="2" fontId="10" fillId="0" borderId="10" xfId="0" applyNumberFormat="1" applyFont="1" applyFill="1" applyBorder="1" applyAlignment="1">
      <alignment horizontal="center" vertical="center"/>
    </xf>
    <xf numFmtId="0" fontId="0" fillId="0" borderId="0" xfId="0" applyAlignment="1">
      <alignment vertical="top" wrapText="1"/>
    </xf>
    <xf numFmtId="0" fontId="0" fillId="0" borderId="0" xfId="0" applyFont="1" applyAlignment="1">
      <alignment horizontal="left"/>
    </xf>
    <xf numFmtId="0" fontId="2" fillId="0" borderId="0" xfId="0" applyFont="1" applyAlignment="1">
      <alignment vertical="top" wrapText="1"/>
    </xf>
    <xf numFmtId="0" fontId="6" fillId="0" borderId="10" xfId="0" applyFont="1" applyBorder="1" applyAlignment="1">
      <alignment horizontal="center" vertical="top"/>
    </xf>
    <xf numFmtId="0" fontId="6" fillId="0" borderId="10" xfId="0" applyFont="1" applyBorder="1" applyAlignment="1">
      <alignment vertical="top" wrapText="1"/>
    </xf>
    <xf numFmtId="2" fontId="6" fillId="0" borderId="10" xfId="0" applyNumberFormat="1" applyFont="1" applyBorder="1" applyAlignment="1">
      <alignment horizontal="center" vertical="top" wrapText="1"/>
    </xf>
    <xf numFmtId="0" fontId="0" fillId="0" borderId="0" xfId="0" applyAlignment="1">
      <alignment vertical="top"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0" xfId="0" applyFont="1"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Alignment="1">
      <alignment/>
    </xf>
    <xf numFmtId="0" fontId="4"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5"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6"/>
  <sheetViews>
    <sheetView tabSelected="1" zoomScale="72" zoomScaleNormal="72" zoomScalePageLayoutView="0" workbookViewId="0" topLeftCell="A1">
      <pane xSplit="3" ySplit="10" topLeftCell="D125" activePane="bottomRight" state="frozen"/>
      <selection pane="topLeft" activeCell="A1" sqref="A1"/>
      <selection pane="topRight" activeCell="D1" sqref="D1"/>
      <selection pane="bottomLeft" activeCell="A11" sqref="A11"/>
      <selection pane="bottomRight" activeCell="F59" sqref="F59"/>
    </sheetView>
  </sheetViews>
  <sheetFormatPr defaultColWidth="9.140625" defaultRowHeight="15"/>
  <cols>
    <col min="1" max="1" width="10.28125" style="0" customWidth="1"/>
    <col min="2" max="2" width="9.7109375" style="0" customWidth="1"/>
    <col min="3" max="3" width="37.8515625" style="0" customWidth="1"/>
    <col min="4" max="4" width="16.28125" style="0" customWidth="1"/>
    <col min="5" max="5" width="14.421875" style="0" customWidth="1"/>
    <col min="6" max="6" width="15.57421875" style="0" customWidth="1"/>
    <col min="7" max="7" width="14.28125" style="0" customWidth="1"/>
    <col min="8" max="8" width="13.00390625" style="0" customWidth="1"/>
    <col min="9" max="9" width="12.57421875" style="0" customWidth="1"/>
    <col min="10" max="10" width="12.00390625" style="0" customWidth="1"/>
    <col min="11" max="11" width="14.8515625" style="0" customWidth="1"/>
    <col min="12" max="12" width="17.00390625" style="0" customWidth="1"/>
    <col min="13" max="13" width="14.8515625" style="0" customWidth="1"/>
    <col min="14" max="14" width="16.421875" style="0" customWidth="1"/>
    <col min="15" max="15" width="4.28125" style="0" customWidth="1"/>
  </cols>
  <sheetData>
    <row r="1" spans="2:14" ht="15">
      <c r="B1" s="3"/>
      <c r="C1" s="3"/>
      <c r="D1" s="3"/>
      <c r="E1" s="3"/>
      <c r="F1" s="3"/>
      <c r="G1" s="3"/>
      <c r="H1" s="3"/>
      <c r="I1" s="3"/>
      <c r="J1" s="3"/>
      <c r="K1" s="3" t="s">
        <v>102</v>
      </c>
      <c r="L1" s="3"/>
      <c r="M1" s="3"/>
      <c r="N1" s="3"/>
    </row>
    <row r="2" spans="2:14" ht="34.5" customHeight="1">
      <c r="B2" s="3"/>
      <c r="C2" s="3"/>
      <c r="D2" s="3"/>
      <c r="E2" s="3"/>
      <c r="F2" s="3"/>
      <c r="G2" s="3"/>
      <c r="H2" s="3"/>
      <c r="I2" s="3"/>
      <c r="J2" s="3"/>
      <c r="K2" s="60" t="s">
        <v>190</v>
      </c>
      <c r="L2" s="60"/>
      <c r="M2" s="60"/>
      <c r="N2" s="61"/>
    </row>
    <row r="3" spans="2:14" ht="15">
      <c r="B3" s="66" t="s">
        <v>186</v>
      </c>
      <c r="C3" s="67"/>
      <c r="D3" s="67"/>
      <c r="E3" s="67"/>
      <c r="F3" s="67"/>
      <c r="G3" s="67"/>
      <c r="H3" s="67"/>
      <c r="I3" s="67"/>
      <c r="J3" s="67"/>
      <c r="K3" s="67"/>
      <c r="L3" s="67"/>
      <c r="M3" s="67"/>
      <c r="N3" s="67"/>
    </row>
    <row r="4" spans="2:14" ht="15">
      <c r="B4" s="66" t="s">
        <v>103</v>
      </c>
      <c r="C4" s="67"/>
      <c r="D4" s="67"/>
      <c r="E4" s="67"/>
      <c r="F4" s="67"/>
      <c r="G4" s="67"/>
      <c r="H4" s="67"/>
      <c r="I4" s="67"/>
      <c r="J4" s="67"/>
      <c r="K4" s="67"/>
      <c r="L4" s="67"/>
      <c r="M4" s="67"/>
      <c r="N4" s="67"/>
    </row>
    <row r="5" spans="2:15" ht="18.75">
      <c r="B5" s="3"/>
      <c r="C5" s="68"/>
      <c r="D5" s="68"/>
      <c r="E5" s="68"/>
      <c r="F5" s="68"/>
      <c r="G5" s="68"/>
      <c r="H5" s="68"/>
      <c r="I5" s="68"/>
      <c r="J5" s="68"/>
      <c r="K5" s="68"/>
      <c r="L5" s="68"/>
      <c r="M5" s="68"/>
      <c r="N5" s="68"/>
      <c r="O5" s="68"/>
    </row>
    <row r="6" spans="1:14" ht="28.5">
      <c r="A6" s="52" t="s">
        <v>104</v>
      </c>
      <c r="B6" s="52" t="s">
        <v>169</v>
      </c>
      <c r="C6" s="5" t="s">
        <v>167</v>
      </c>
      <c r="D6" s="56" t="s">
        <v>0</v>
      </c>
      <c r="E6" s="56"/>
      <c r="F6" s="56"/>
      <c r="G6" s="56" t="s">
        <v>7</v>
      </c>
      <c r="H6" s="56"/>
      <c r="I6" s="56"/>
      <c r="J6" s="56"/>
      <c r="K6" s="56"/>
      <c r="L6" s="56"/>
      <c r="M6" s="56"/>
      <c r="N6" s="56" t="s">
        <v>8</v>
      </c>
    </row>
    <row r="7" spans="1:14" ht="15">
      <c r="A7" s="52"/>
      <c r="B7" s="52"/>
      <c r="C7" s="53" t="s">
        <v>168</v>
      </c>
      <c r="D7" s="52" t="s">
        <v>1</v>
      </c>
      <c r="E7" s="57" t="s">
        <v>3</v>
      </c>
      <c r="F7" s="57"/>
      <c r="G7" s="52" t="s">
        <v>1</v>
      </c>
      <c r="H7" s="52" t="s">
        <v>2</v>
      </c>
      <c r="I7" s="57" t="s">
        <v>3</v>
      </c>
      <c r="J7" s="57"/>
      <c r="K7" s="57" t="s">
        <v>6</v>
      </c>
      <c r="L7" s="62" t="s">
        <v>3</v>
      </c>
      <c r="M7" s="63"/>
      <c r="N7" s="56"/>
    </row>
    <row r="8" spans="1:14" ht="25.5" customHeight="1">
      <c r="A8" s="52"/>
      <c r="B8" s="52"/>
      <c r="C8" s="54"/>
      <c r="D8" s="52"/>
      <c r="E8" s="57" t="s">
        <v>4</v>
      </c>
      <c r="F8" s="57" t="s">
        <v>5</v>
      </c>
      <c r="G8" s="52"/>
      <c r="H8" s="52"/>
      <c r="I8" s="57" t="s">
        <v>4</v>
      </c>
      <c r="J8" s="57" t="s">
        <v>5</v>
      </c>
      <c r="K8" s="57"/>
      <c r="L8" s="64" t="s">
        <v>85</v>
      </c>
      <c r="M8" s="4" t="s">
        <v>3</v>
      </c>
      <c r="N8" s="56"/>
    </row>
    <row r="9" spans="1:14" ht="120" customHeight="1">
      <c r="A9" s="52"/>
      <c r="B9" s="52"/>
      <c r="C9" s="55"/>
      <c r="D9" s="52"/>
      <c r="E9" s="57"/>
      <c r="F9" s="57"/>
      <c r="G9" s="52"/>
      <c r="H9" s="52"/>
      <c r="I9" s="57"/>
      <c r="J9" s="57"/>
      <c r="K9" s="57"/>
      <c r="L9" s="65"/>
      <c r="M9" s="4" t="s">
        <v>86</v>
      </c>
      <c r="N9" s="56"/>
    </row>
    <row r="10" spans="1:14" ht="15">
      <c r="A10">
        <v>1</v>
      </c>
      <c r="B10" s="5">
        <v>2</v>
      </c>
      <c r="C10" s="5">
        <v>3</v>
      </c>
      <c r="D10" s="5">
        <v>4</v>
      </c>
      <c r="E10" s="5">
        <v>5</v>
      </c>
      <c r="F10" s="5">
        <v>6</v>
      </c>
      <c r="G10" s="5">
        <v>7</v>
      </c>
      <c r="H10" s="5">
        <v>8</v>
      </c>
      <c r="I10" s="5">
        <v>9</v>
      </c>
      <c r="J10" s="5">
        <v>10</v>
      </c>
      <c r="K10" s="5">
        <v>11</v>
      </c>
      <c r="L10" s="5">
        <v>12</v>
      </c>
      <c r="M10" s="5">
        <v>13</v>
      </c>
      <c r="N10" s="5">
        <v>14</v>
      </c>
    </row>
    <row r="11" spans="1:14" ht="15">
      <c r="A11" s="8"/>
      <c r="B11" s="14" t="s">
        <v>101</v>
      </c>
      <c r="C11" s="15" t="s">
        <v>9</v>
      </c>
      <c r="D11" s="16">
        <f aca="true" t="shared" si="0" ref="D11:M11">D12+D17+D24+D32+D34+D39+D41+D44+D48+D50+D54+D59</f>
        <v>11421591.26</v>
      </c>
      <c r="E11" s="16">
        <f t="shared" si="0"/>
        <v>4499600</v>
      </c>
      <c r="F11" s="16">
        <f t="shared" si="0"/>
        <v>229553</v>
      </c>
      <c r="G11" s="16">
        <f t="shared" si="0"/>
        <v>15665753.380000003</v>
      </c>
      <c r="H11" s="16">
        <f t="shared" si="0"/>
        <v>2215413.0100000002</v>
      </c>
      <c r="I11" s="16">
        <f t="shared" si="0"/>
        <v>5940</v>
      </c>
      <c r="J11" s="16">
        <f t="shared" si="0"/>
        <v>2000</v>
      </c>
      <c r="K11" s="16">
        <f t="shared" si="0"/>
        <v>13450340.370000001</v>
      </c>
      <c r="L11" s="16">
        <f t="shared" si="0"/>
        <v>10199536.8</v>
      </c>
      <c r="M11" s="16">
        <f t="shared" si="0"/>
        <v>0</v>
      </c>
      <c r="N11" s="16">
        <f aca="true" t="shared" si="1" ref="N11:N37">D11+G11</f>
        <v>27087344.64</v>
      </c>
    </row>
    <row r="12" spans="1:14" ht="15">
      <c r="A12" s="17"/>
      <c r="B12" s="18">
        <v>10000</v>
      </c>
      <c r="C12" s="15" t="s">
        <v>10</v>
      </c>
      <c r="D12" s="16">
        <f>D13</f>
        <v>6031798.93</v>
      </c>
      <c r="E12" s="16">
        <f aca="true" t="shared" si="2" ref="E12:M12">E13</f>
        <v>4007282</v>
      </c>
      <c r="F12" s="16">
        <f t="shared" si="2"/>
        <v>202805</v>
      </c>
      <c r="G12" s="16">
        <f t="shared" si="2"/>
        <v>1373408</v>
      </c>
      <c r="H12" s="16">
        <f t="shared" si="2"/>
        <v>26400</v>
      </c>
      <c r="I12" s="16">
        <f t="shared" si="2"/>
        <v>0</v>
      </c>
      <c r="J12" s="16">
        <f t="shared" si="2"/>
        <v>2000</v>
      </c>
      <c r="K12" s="16">
        <f t="shared" si="2"/>
        <v>1347008</v>
      </c>
      <c r="L12" s="16">
        <f t="shared" si="2"/>
        <v>1347008</v>
      </c>
      <c r="M12" s="16">
        <f t="shared" si="2"/>
        <v>0</v>
      </c>
      <c r="N12" s="16">
        <f t="shared" si="1"/>
        <v>7405206.93</v>
      </c>
    </row>
    <row r="13" spans="1:14" ht="28.5">
      <c r="A13" s="8" t="s">
        <v>112</v>
      </c>
      <c r="B13" s="9">
        <v>10116</v>
      </c>
      <c r="C13" s="6" t="s">
        <v>51</v>
      </c>
      <c r="D13" s="11">
        <f>SUM(D14:D16)</f>
        <v>6031798.93</v>
      </c>
      <c r="E13" s="11">
        <f>SUM(E14:E16)</f>
        <v>4007282</v>
      </c>
      <c r="F13" s="11">
        <f>SUM(F14:F16)</f>
        <v>202805</v>
      </c>
      <c r="G13" s="11">
        <f aca="true" t="shared" si="3" ref="G13:G23">H13+K13</f>
        <v>1373408</v>
      </c>
      <c r="H13" s="11">
        <f aca="true" t="shared" si="4" ref="H13:M13">SUM(H14:H16)</f>
        <v>26400</v>
      </c>
      <c r="I13" s="11">
        <f t="shared" si="4"/>
        <v>0</v>
      </c>
      <c r="J13" s="11">
        <f t="shared" si="4"/>
        <v>2000</v>
      </c>
      <c r="K13" s="11">
        <f t="shared" si="4"/>
        <v>1347008</v>
      </c>
      <c r="L13" s="11">
        <f t="shared" si="4"/>
        <v>1347008</v>
      </c>
      <c r="M13" s="11">
        <f t="shared" si="4"/>
        <v>0</v>
      </c>
      <c r="N13" s="11">
        <f t="shared" si="1"/>
        <v>7405206.93</v>
      </c>
    </row>
    <row r="14" spans="1:14" ht="15">
      <c r="A14" s="8" t="s">
        <v>112</v>
      </c>
      <c r="B14" s="9">
        <v>10116</v>
      </c>
      <c r="C14" s="6" t="s">
        <v>9</v>
      </c>
      <c r="D14" s="11">
        <f>3012749.53+348111+494447+137000-59900</f>
        <v>3932407.53</v>
      </c>
      <c r="E14" s="11">
        <f>1842654+60+255400+362764+100400</f>
        <v>2561278</v>
      </c>
      <c r="F14" s="11">
        <f>148123</f>
        <v>148123</v>
      </c>
      <c r="G14" s="11">
        <f t="shared" si="3"/>
        <v>1283508</v>
      </c>
      <c r="H14" s="11"/>
      <c r="I14" s="11"/>
      <c r="J14" s="11"/>
      <c r="K14" s="11">
        <f>146400+162000+300000+1480000-8400-500000+187958-4450-480000</f>
        <v>1283508</v>
      </c>
      <c r="L14" s="11">
        <f>146400+162000+300000+1480000-8400-500000+187958-4450-480000</f>
        <v>1283508</v>
      </c>
      <c r="M14" s="11"/>
      <c r="N14" s="11">
        <f t="shared" si="1"/>
        <v>5215915.529999999</v>
      </c>
    </row>
    <row r="15" spans="1:14" ht="42.75">
      <c r="A15" s="8" t="s">
        <v>112</v>
      </c>
      <c r="B15" s="9">
        <v>10116</v>
      </c>
      <c r="C15" s="6" t="s">
        <v>45</v>
      </c>
      <c r="D15" s="11">
        <f>1171025.4+134665+191275+30000-23200</f>
        <v>1503765.4</v>
      </c>
      <c r="E15" s="11">
        <f>785925+98800+140334+450+22000-17000</f>
        <v>1030509</v>
      </c>
      <c r="F15" s="11">
        <f>44755</f>
        <v>44755</v>
      </c>
      <c r="G15" s="11">
        <f t="shared" si="3"/>
        <v>81500</v>
      </c>
      <c r="H15" s="11">
        <f>26400</f>
        <v>26400</v>
      </c>
      <c r="I15" s="11"/>
      <c r="J15" s="11">
        <f>2000</f>
        <v>2000</v>
      </c>
      <c r="K15" s="11">
        <f>20000+135100-100000</f>
        <v>55100</v>
      </c>
      <c r="L15" s="11">
        <f>20000+135100-100000</f>
        <v>55100</v>
      </c>
      <c r="M15" s="11"/>
      <c r="N15" s="11">
        <f t="shared" si="1"/>
        <v>1585265.4</v>
      </c>
    </row>
    <row r="16" spans="1:14" ht="28.5">
      <c r="A16" s="8" t="s">
        <v>112</v>
      </c>
      <c r="B16" s="9">
        <v>10116</v>
      </c>
      <c r="C16" s="6" t="s">
        <v>40</v>
      </c>
      <c r="D16" s="11">
        <f>443837+50624+71965+38000-8800</f>
        <v>595626</v>
      </c>
      <c r="E16" s="11">
        <f>303998+37142+52755+28000-6400</f>
        <v>415495</v>
      </c>
      <c r="F16" s="11">
        <f>9927</f>
        <v>9927</v>
      </c>
      <c r="G16" s="11">
        <f t="shared" si="3"/>
        <v>8400</v>
      </c>
      <c r="H16" s="11"/>
      <c r="I16" s="11"/>
      <c r="J16" s="11"/>
      <c r="K16" s="11">
        <f>8400</f>
        <v>8400</v>
      </c>
      <c r="L16" s="11">
        <f>8400</f>
        <v>8400</v>
      </c>
      <c r="M16" s="11"/>
      <c r="N16" s="11">
        <f t="shared" si="1"/>
        <v>604026</v>
      </c>
    </row>
    <row r="17" spans="1:14" ht="30">
      <c r="A17" s="8"/>
      <c r="B17" s="18">
        <v>90000</v>
      </c>
      <c r="C17" s="15" t="s">
        <v>11</v>
      </c>
      <c r="D17" s="16">
        <f>SUM(D18:D21)</f>
        <v>678566.3400000001</v>
      </c>
      <c r="E17" s="16">
        <f>SUM(E18:E21)</f>
        <v>492318</v>
      </c>
      <c r="F17" s="16">
        <f>SUM(F18:F21)</f>
        <v>26748</v>
      </c>
      <c r="G17" s="11">
        <f t="shared" si="3"/>
        <v>18000</v>
      </c>
      <c r="H17" s="16">
        <f aca="true" t="shared" si="5" ref="H17:M17">SUM(H18:H21)</f>
        <v>13600</v>
      </c>
      <c r="I17" s="16">
        <f t="shared" si="5"/>
        <v>5940</v>
      </c>
      <c r="J17" s="16">
        <f t="shared" si="5"/>
        <v>0</v>
      </c>
      <c r="K17" s="16">
        <f t="shared" si="5"/>
        <v>4400</v>
      </c>
      <c r="L17" s="16">
        <f t="shared" si="5"/>
        <v>0</v>
      </c>
      <c r="M17" s="16">
        <f t="shared" si="5"/>
        <v>0</v>
      </c>
      <c r="N17" s="16">
        <f t="shared" si="1"/>
        <v>696566.3400000001</v>
      </c>
    </row>
    <row r="18" spans="1:14" ht="28.5">
      <c r="A18" s="8" t="s">
        <v>166</v>
      </c>
      <c r="B18" s="9">
        <v>90802</v>
      </c>
      <c r="C18" s="6" t="s">
        <v>164</v>
      </c>
      <c r="D18" s="12">
        <f>5000</f>
        <v>5000</v>
      </c>
      <c r="E18" s="12"/>
      <c r="F18" s="12"/>
      <c r="G18" s="11">
        <f t="shared" si="3"/>
        <v>0</v>
      </c>
      <c r="H18" s="12"/>
      <c r="I18" s="12"/>
      <c r="J18" s="12"/>
      <c r="K18" s="12"/>
      <c r="L18" s="12"/>
      <c r="M18" s="12"/>
      <c r="N18" s="12">
        <f t="shared" si="1"/>
        <v>5000</v>
      </c>
    </row>
    <row r="19" spans="1:14" ht="28.5">
      <c r="A19" s="8" t="s">
        <v>166</v>
      </c>
      <c r="B19" s="9">
        <v>91101</v>
      </c>
      <c r="C19" s="6" t="s">
        <v>12</v>
      </c>
      <c r="D19" s="27">
        <f>228100+185885-14582.05+36804-6600-67015-13.31</f>
        <v>362578.64</v>
      </c>
      <c r="E19" s="27">
        <f>158073+119075+27002+100-4850-10525-2091</f>
        <v>286784</v>
      </c>
      <c r="F19" s="27">
        <f>6946+7397-5665</f>
        <v>8678</v>
      </c>
      <c r="G19" s="11">
        <f t="shared" si="3"/>
        <v>0</v>
      </c>
      <c r="H19" s="11"/>
      <c r="I19" s="11"/>
      <c r="J19" s="11"/>
      <c r="K19" s="11"/>
      <c r="L19" s="11"/>
      <c r="M19" s="11"/>
      <c r="N19" s="11">
        <f t="shared" si="1"/>
        <v>362578.64</v>
      </c>
    </row>
    <row r="20" spans="1:14" ht="28.5">
      <c r="A20" s="8" t="s">
        <v>113</v>
      </c>
      <c r="B20" s="9">
        <v>91103</v>
      </c>
      <c r="C20" s="6" t="s">
        <v>13</v>
      </c>
      <c r="D20" s="27">
        <f>14994+15700-4790-8900-10000</f>
        <v>7004</v>
      </c>
      <c r="E20" s="27"/>
      <c r="F20" s="27"/>
      <c r="G20" s="11">
        <f t="shared" si="3"/>
        <v>0</v>
      </c>
      <c r="H20" s="11"/>
      <c r="I20" s="11"/>
      <c r="J20" s="11"/>
      <c r="K20" s="11"/>
      <c r="L20" s="11"/>
      <c r="M20" s="11"/>
      <c r="N20" s="11">
        <f t="shared" si="1"/>
        <v>7004</v>
      </c>
    </row>
    <row r="21" spans="1:14" ht="15">
      <c r="A21" s="8"/>
      <c r="B21" s="9">
        <v>91106</v>
      </c>
      <c r="C21" s="6" t="s">
        <v>50</v>
      </c>
      <c r="D21" s="11">
        <f>SUM(D22:D23)</f>
        <v>303983.7</v>
      </c>
      <c r="E21" s="11">
        <f>SUM(E22:E23)</f>
        <v>205534</v>
      </c>
      <c r="F21" s="11">
        <f>SUM(F22:F23)</f>
        <v>18070</v>
      </c>
      <c r="G21" s="11">
        <f t="shared" si="3"/>
        <v>18000</v>
      </c>
      <c r="H21" s="11">
        <f aca="true" t="shared" si="6" ref="H21:M21">SUM(H22:H23)</f>
        <v>13600</v>
      </c>
      <c r="I21" s="11">
        <f t="shared" si="6"/>
        <v>5940</v>
      </c>
      <c r="J21" s="11">
        <f t="shared" si="6"/>
        <v>0</v>
      </c>
      <c r="K21" s="11">
        <f t="shared" si="6"/>
        <v>4400</v>
      </c>
      <c r="L21" s="11">
        <f t="shared" si="6"/>
        <v>0</v>
      </c>
      <c r="M21" s="11">
        <f t="shared" si="6"/>
        <v>0</v>
      </c>
      <c r="N21" s="11">
        <f t="shared" si="1"/>
        <v>321983.7</v>
      </c>
    </row>
    <row r="22" spans="1:14" ht="15">
      <c r="A22" s="8" t="s">
        <v>114</v>
      </c>
      <c r="B22" s="9">
        <v>91106</v>
      </c>
      <c r="C22" s="6" t="s">
        <v>46</v>
      </c>
      <c r="D22" s="11">
        <f>121852-1314.3+39181-4600</f>
        <v>155118.7</v>
      </c>
      <c r="E22" s="11">
        <f>70889+28746+200-3375</f>
        <v>96460</v>
      </c>
      <c r="F22" s="11">
        <f>18070</f>
        <v>18070</v>
      </c>
      <c r="G22" s="11">
        <f t="shared" si="3"/>
        <v>0</v>
      </c>
      <c r="H22" s="11"/>
      <c r="I22" s="11"/>
      <c r="J22" s="11"/>
      <c r="K22" s="11"/>
      <c r="L22" s="11"/>
      <c r="M22" s="11"/>
      <c r="N22" s="11">
        <f t="shared" si="1"/>
        <v>155118.7</v>
      </c>
    </row>
    <row r="23" spans="1:14" ht="28.5">
      <c r="A23" s="8" t="s">
        <v>115</v>
      </c>
      <c r="B23" s="9">
        <v>91106</v>
      </c>
      <c r="C23" s="6" t="s">
        <v>47</v>
      </c>
      <c r="D23" s="11">
        <f>116008+37257-4400</f>
        <v>148865</v>
      </c>
      <c r="E23" s="11">
        <f>84939+27335-3200</f>
        <v>109074</v>
      </c>
      <c r="F23" s="11"/>
      <c r="G23" s="11">
        <f t="shared" si="3"/>
        <v>18000</v>
      </c>
      <c r="H23" s="11">
        <f>13600</f>
        <v>13600</v>
      </c>
      <c r="I23" s="11">
        <f>5940</f>
        <v>5940</v>
      </c>
      <c r="J23" s="11"/>
      <c r="K23" s="11">
        <f>4400</f>
        <v>4400</v>
      </c>
      <c r="L23" s="11"/>
      <c r="M23" s="11"/>
      <c r="N23" s="11">
        <f t="shared" si="1"/>
        <v>166865</v>
      </c>
    </row>
    <row r="24" spans="1:14" ht="30">
      <c r="A24" s="8"/>
      <c r="B24" s="18">
        <v>100000</v>
      </c>
      <c r="C24" s="15" t="s">
        <v>14</v>
      </c>
      <c r="D24" s="16">
        <f aca="true" t="shared" si="7" ref="D24:L24">SUM(D25:D27)</f>
        <v>3700000</v>
      </c>
      <c r="E24" s="16">
        <f t="shared" si="7"/>
        <v>0</v>
      </c>
      <c r="F24" s="16">
        <f t="shared" si="7"/>
        <v>0</v>
      </c>
      <c r="G24" s="16">
        <f t="shared" si="7"/>
        <v>4518363</v>
      </c>
      <c r="H24" s="16">
        <f t="shared" si="7"/>
        <v>0</v>
      </c>
      <c r="I24" s="16">
        <f t="shared" si="7"/>
        <v>0</v>
      </c>
      <c r="J24" s="16">
        <f t="shared" si="7"/>
        <v>0</v>
      </c>
      <c r="K24" s="16">
        <f t="shared" si="7"/>
        <v>4518363</v>
      </c>
      <c r="L24" s="16">
        <f t="shared" si="7"/>
        <v>4518363</v>
      </c>
      <c r="M24" s="16">
        <f>SUM(M25:M27)</f>
        <v>0</v>
      </c>
      <c r="N24" s="16">
        <f t="shared" si="1"/>
        <v>8218363</v>
      </c>
    </row>
    <row r="25" spans="1:14" ht="28.5">
      <c r="A25" s="34" t="s">
        <v>173</v>
      </c>
      <c r="B25" s="31">
        <v>100102</v>
      </c>
      <c r="C25" s="32" t="s">
        <v>171</v>
      </c>
      <c r="D25" s="16"/>
      <c r="E25" s="33"/>
      <c r="F25" s="33"/>
      <c r="G25" s="11">
        <f aca="true" t="shared" si="8" ref="G25:G31">H25+K25</f>
        <v>1072224</v>
      </c>
      <c r="H25" s="33"/>
      <c r="I25" s="33"/>
      <c r="J25" s="33"/>
      <c r="K25" s="50">
        <f>800000+34000+200000+97000+30000+61224-150000</f>
        <v>1072224</v>
      </c>
      <c r="L25" s="50">
        <f>800000+34000+200000+97000+30000+61224-150000</f>
        <v>1072224</v>
      </c>
      <c r="M25" s="33"/>
      <c r="N25" s="11">
        <f t="shared" si="1"/>
        <v>1072224</v>
      </c>
    </row>
    <row r="26" spans="1:14" ht="28.5">
      <c r="A26" s="34" t="s">
        <v>174</v>
      </c>
      <c r="B26" s="9">
        <v>100202</v>
      </c>
      <c r="C26" s="6" t="s">
        <v>172</v>
      </c>
      <c r="D26" s="16"/>
      <c r="E26" s="11"/>
      <c r="F26" s="11"/>
      <c r="G26" s="11">
        <f t="shared" si="8"/>
        <v>2874539</v>
      </c>
      <c r="H26" s="11"/>
      <c r="I26" s="11"/>
      <c r="J26" s="11"/>
      <c r="K26" s="11">
        <f>547968+75250+700000+9521+1541800</f>
        <v>2874539</v>
      </c>
      <c r="L26" s="11">
        <f>547968+75250+700000+9521+1541800</f>
        <v>2874539</v>
      </c>
      <c r="M26" s="11"/>
      <c r="N26" s="11">
        <f t="shared" si="1"/>
        <v>2874539</v>
      </c>
    </row>
    <row r="27" spans="1:14" ht="28.5">
      <c r="A27" s="8" t="s">
        <v>105</v>
      </c>
      <c r="B27" s="9">
        <v>100203</v>
      </c>
      <c r="C27" s="6" t="s">
        <v>49</v>
      </c>
      <c r="D27" s="11">
        <f>SUM(D28:D31)</f>
        <v>3700000</v>
      </c>
      <c r="E27" s="11">
        <f>SUM(E28:E31)</f>
        <v>0</v>
      </c>
      <c r="F27" s="11">
        <f>SUM(F28:F31)</f>
        <v>0</v>
      </c>
      <c r="G27" s="11">
        <f>SUM(G28:G31)</f>
        <v>571600</v>
      </c>
      <c r="H27" s="11"/>
      <c r="I27" s="11"/>
      <c r="J27" s="11"/>
      <c r="K27" s="11">
        <f>SUM(K28:K30)</f>
        <v>571600</v>
      </c>
      <c r="L27" s="11">
        <f>SUM(L28:L30)</f>
        <v>571600</v>
      </c>
      <c r="M27" s="11"/>
      <c r="N27" s="11">
        <f t="shared" si="1"/>
        <v>4271600</v>
      </c>
    </row>
    <row r="28" spans="1:14" ht="15">
      <c r="A28" s="8" t="s">
        <v>105</v>
      </c>
      <c r="B28" s="9">
        <v>100203</v>
      </c>
      <c r="C28" s="6" t="s">
        <v>48</v>
      </c>
      <c r="D28" s="11">
        <f>1500000+15000-15000</f>
        <v>1500000</v>
      </c>
      <c r="E28" s="11"/>
      <c r="F28" s="11"/>
      <c r="G28" s="11">
        <f t="shared" si="8"/>
        <v>0</v>
      </c>
      <c r="H28" s="11"/>
      <c r="I28" s="11"/>
      <c r="J28" s="11"/>
      <c r="K28" s="11"/>
      <c r="L28" s="11"/>
      <c r="M28" s="11"/>
      <c r="N28" s="11">
        <f t="shared" si="1"/>
        <v>1500000</v>
      </c>
    </row>
    <row r="29" spans="1:14" ht="28.5">
      <c r="A29" s="8" t="s">
        <v>105</v>
      </c>
      <c r="B29" s="9">
        <v>100203</v>
      </c>
      <c r="C29" s="6" t="s">
        <v>52</v>
      </c>
      <c r="D29" s="11">
        <f>1500000</f>
        <v>1500000</v>
      </c>
      <c r="E29" s="11"/>
      <c r="F29" s="11"/>
      <c r="G29" s="11">
        <f t="shared" si="8"/>
        <v>371600</v>
      </c>
      <c r="H29" s="11"/>
      <c r="I29" s="11"/>
      <c r="J29" s="11"/>
      <c r="K29" s="11">
        <f>371600</f>
        <v>371600</v>
      </c>
      <c r="L29" s="11">
        <f>371600</f>
        <v>371600</v>
      </c>
      <c r="M29" s="11"/>
      <c r="N29" s="11">
        <f t="shared" si="1"/>
        <v>1871600</v>
      </c>
    </row>
    <row r="30" spans="1:14" ht="15">
      <c r="A30" s="8" t="s">
        <v>105</v>
      </c>
      <c r="B30" s="9">
        <v>100203</v>
      </c>
      <c r="C30" s="6" t="s">
        <v>53</v>
      </c>
      <c r="D30" s="11">
        <f>700000</f>
        <v>700000</v>
      </c>
      <c r="E30" s="11"/>
      <c r="F30" s="11"/>
      <c r="G30" s="11">
        <f t="shared" si="8"/>
        <v>200000</v>
      </c>
      <c r="H30" s="11"/>
      <c r="I30" s="11"/>
      <c r="J30" s="11"/>
      <c r="K30" s="11">
        <f>200000</f>
        <v>200000</v>
      </c>
      <c r="L30" s="11">
        <f>200000</f>
        <v>200000</v>
      </c>
      <c r="M30" s="11"/>
      <c r="N30" s="11">
        <f t="shared" si="1"/>
        <v>900000</v>
      </c>
    </row>
    <row r="31" spans="1:14" ht="15">
      <c r="A31" s="8"/>
      <c r="B31" s="9"/>
      <c r="C31" s="6" t="s">
        <v>185</v>
      </c>
      <c r="D31" s="11">
        <f>15000-15000</f>
        <v>0</v>
      </c>
      <c r="E31" s="11"/>
      <c r="F31" s="11"/>
      <c r="G31" s="11">
        <f t="shared" si="8"/>
        <v>0</v>
      </c>
      <c r="H31" s="11"/>
      <c r="I31" s="11"/>
      <c r="J31" s="11"/>
      <c r="K31" s="11"/>
      <c r="L31" s="11"/>
      <c r="M31" s="11"/>
      <c r="N31" s="11"/>
    </row>
    <row r="32" spans="1:14" ht="15">
      <c r="A32" s="8"/>
      <c r="B32" s="18">
        <v>110000</v>
      </c>
      <c r="C32" s="15" t="s">
        <v>15</v>
      </c>
      <c r="D32" s="16">
        <f>D33</f>
        <v>24712</v>
      </c>
      <c r="E32" s="16">
        <f>E33</f>
        <v>0</v>
      </c>
      <c r="F32" s="16">
        <f>F33</f>
        <v>0</v>
      </c>
      <c r="G32" s="16">
        <f aca="true" t="shared" si="9" ref="G32:G40">H32+K32</f>
        <v>100000</v>
      </c>
      <c r="H32" s="16">
        <f aca="true" t="shared" si="10" ref="H32:M32">H33</f>
        <v>0</v>
      </c>
      <c r="I32" s="16">
        <f t="shared" si="10"/>
        <v>0</v>
      </c>
      <c r="J32" s="16">
        <f t="shared" si="10"/>
        <v>0</v>
      </c>
      <c r="K32" s="16">
        <f t="shared" si="10"/>
        <v>100000</v>
      </c>
      <c r="L32" s="16">
        <f t="shared" si="10"/>
        <v>100000</v>
      </c>
      <c r="M32" s="16">
        <f t="shared" si="10"/>
        <v>0</v>
      </c>
      <c r="N32" s="16">
        <f t="shared" si="1"/>
        <v>124712</v>
      </c>
    </row>
    <row r="33" spans="1:14" ht="28.5">
      <c r="A33" s="8" t="s">
        <v>116</v>
      </c>
      <c r="B33" s="9">
        <v>110502</v>
      </c>
      <c r="C33" s="6" t="s">
        <v>16</v>
      </c>
      <c r="D33" s="11">
        <f>50000-25000-288</f>
        <v>24712</v>
      </c>
      <c r="E33" s="11"/>
      <c r="F33" s="11"/>
      <c r="G33" s="11">
        <f t="shared" si="9"/>
        <v>100000</v>
      </c>
      <c r="H33" s="11"/>
      <c r="I33" s="11"/>
      <c r="J33" s="11"/>
      <c r="K33" s="11">
        <f>100000</f>
        <v>100000</v>
      </c>
      <c r="L33" s="11">
        <f>100000</f>
        <v>100000</v>
      </c>
      <c r="M33" s="11"/>
      <c r="N33" s="11">
        <f t="shared" si="1"/>
        <v>124712</v>
      </c>
    </row>
    <row r="34" spans="1:14" ht="15">
      <c r="A34" s="8"/>
      <c r="B34" s="18">
        <v>120000</v>
      </c>
      <c r="C34" s="15" t="s">
        <v>17</v>
      </c>
      <c r="D34" s="16">
        <f>D35+D37</f>
        <v>200000</v>
      </c>
      <c r="E34" s="16">
        <f>E35+E37</f>
        <v>0</v>
      </c>
      <c r="F34" s="16">
        <f>F35+F37</f>
        <v>0</v>
      </c>
      <c r="G34" s="16">
        <f t="shared" si="9"/>
        <v>6000</v>
      </c>
      <c r="H34" s="16">
        <f aca="true" t="shared" si="11" ref="H34:M34">H35+H37</f>
        <v>0</v>
      </c>
      <c r="I34" s="16">
        <f t="shared" si="11"/>
        <v>0</v>
      </c>
      <c r="J34" s="16">
        <f t="shared" si="11"/>
        <v>0</v>
      </c>
      <c r="K34" s="16">
        <f t="shared" si="11"/>
        <v>6000</v>
      </c>
      <c r="L34" s="16">
        <f t="shared" si="11"/>
        <v>6000</v>
      </c>
      <c r="M34" s="16">
        <f t="shared" si="11"/>
        <v>0</v>
      </c>
      <c r="N34" s="16">
        <f t="shared" si="1"/>
        <v>206000</v>
      </c>
    </row>
    <row r="35" spans="1:14" ht="28.5">
      <c r="A35" s="8"/>
      <c r="B35" s="9">
        <v>120100</v>
      </c>
      <c r="C35" s="6" t="s">
        <v>58</v>
      </c>
      <c r="D35" s="11">
        <f>D36</f>
        <v>70000</v>
      </c>
      <c r="E35" s="11"/>
      <c r="F35" s="11"/>
      <c r="G35" s="11">
        <f t="shared" si="9"/>
        <v>0</v>
      </c>
      <c r="H35" s="11"/>
      <c r="I35" s="11"/>
      <c r="J35" s="11"/>
      <c r="K35" s="11"/>
      <c r="L35" s="11"/>
      <c r="M35" s="11"/>
      <c r="N35" s="11">
        <f t="shared" si="1"/>
        <v>70000</v>
      </c>
    </row>
    <row r="36" spans="1:14" ht="28.5">
      <c r="A36" s="8" t="s">
        <v>109</v>
      </c>
      <c r="B36" s="9">
        <v>120100</v>
      </c>
      <c r="C36" s="6" t="s">
        <v>60</v>
      </c>
      <c r="D36" s="11">
        <f>70000</f>
        <v>70000</v>
      </c>
      <c r="E36" s="11"/>
      <c r="F36" s="11"/>
      <c r="G36" s="11">
        <f t="shared" si="9"/>
        <v>0</v>
      </c>
      <c r="H36" s="11"/>
      <c r="I36" s="11"/>
      <c r="J36" s="11"/>
      <c r="K36" s="11"/>
      <c r="L36" s="11"/>
      <c r="M36" s="11"/>
      <c r="N36" s="11">
        <f t="shared" si="1"/>
        <v>70000</v>
      </c>
    </row>
    <row r="37" spans="1:14" ht="28.5">
      <c r="A37" s="8"/>
      <c r="B37" s="9">
        <v>120201</v>
      </c>
      <c r="C37" s="6" t="s">
        <v>54</v>
      </c>
      <c r="D37" s="11">
        <f>D38</f>
        <v>130000</v>
      </c>
      <c r="E37" s="11"/>
      <c r="F37" s="11"/>
      <c r="G37" s="11">
        <f t="shared" si="9"/>
        <v>6000</v>
      </c>
      <c r="H37" s="11"/>
      <c r="I37" s="11"/>
      <c r="J37" s="11"/>
      <c r="K37" s="11">
        <f>K38</f>
        <v>6000</v>
      </c>
      <c r="L37" s="11">
        <f>L38</f>
        <v>6000</v>
      </c>
      <c r="M37" s="11"/>
      <c r="N37" s="11">
        <f t="shared" si="1"/>
        <v>136000</v>
      </c>
    </row>
    <row r="38" spans="1:14" ht="28.5">
      <c r="A38" s="8" t="s">
        <v>110</v>
      </c>
      <c r="B38" s="9">
        <v>120201</v>
      </c>
      <c r="C38" s="6" t="s">
        <v>59</v>
      </c>
      <c r="D38" s="11">
        <f>130000</f>
        <v>130000</v>
      </c>
      <c r="E38" s="11"/>
      <c r="F38" s="11"/>
      <c r="G38" s="11">
        <f t="shared" si="9"/>
        <v>6000</v>
      </c>
      <c r="H38" s="11"/>
      <c r="I38" s="11"/>
      <c r="J38" s="11"/>
      <c r="K38" s="11">
        <f>6000</f>
        <v>6000</v>
      </c>
      <c r="L38" s="11">
        <f>6000</f>
        <v>6000</v>
      </c>
      <c r="M38" s="11"/>
      <c r="N38" s="11">
        <f aca="true" t="shared" si="12" ref="N38:N57">D38+G38</f>
        <v>136000</v>
      </c>
    </row>
    <row r="39" spans="1:14" ht="15">
      <c r="A39" s="8"/>
      <c r="B39" s="18">
        <v>130000</v>
      </c>
      <c r="C39" s="15" t="s">
        <v>18</v>
      </c>
      <c r="D39" s="16">
        <f>D40</f>
        <v>60000</v>
      </c>
      <c r="E39" s="16">
        <f>E40</f>
        <v>0</v>
      </c>
      <c r="F39" s="16">
        <f>F40</f>
        <v>0</v>
      </c>
      <c r="G39" s="16">
        <f t="shared" si="9"/>
        <v>0</v>
      </c>
      <c r="H39" s="16">
        <f aca="true" t="shared" si="13" ref="H39:M39">H40</f>
        <v>0</v>
      </c>
      <c r="I39" s="16">
        <f t="shared" si="13"/>
        <v>0</v>
      </c>
      <c r="J39" s="16">
        <f t="shared" si="13"/>
        <v>0</v>
      </c>
      <c r="K39" s="16">
        <f t="shared" si="13"/>
        <v>0</v>
      </c>
      <c r="L39" s="16">
        <f t="shared" si="13"/>
        <v>0</v>
      </c>
      <c r="M39" s="16">
        <f t="shared" si="13"/>
        <v>0</v>
      </c>
      <c r="N39" s="16">
        <f t="shared" si="12"/>
        <v>60000</v>
      </c>
    </row>
    <row r="40" spans="1:14" ht="28.5">
      <c r="A40" s="8" t="s">
        <v>111</v>
      </c>
      <c r="B40" s="9">
        <v>130102</v>
      </c>
      <c r="C40" s="6" t="s">
        <v>19</v>
      </c>
      <c r="D40" s="11">
        <f>100000-40000</f>
        <v>60000</v>
      </c>
      <c r="E40" s="11"/>
      <c r="F40" s="11"/>
      <c r="G40" s="11">
        <f t="shared" si="9"/>
        <v>0</v>
      </c>
      <c r="H40" s="11"/>
      <c r="I40" s="11"/>
      <c r="J40" s="11"/>
      <c r="K40" s="11"/>
      <c r="L40" s="11"/>
      <c r="M40" s="11"/>
      <c r="N40" s="11">
        <f t="shared" si="12"/>
        <v>60000</v>
      </c>
    </row>
    <row r="41" spans="1:14" s="26" customFormat="1" ht="15">
      <c r="A41" s="22"/>
      <c r="B41" s="28">
        <v>150000</v>
      </c>
      <c r="C41" s="29" t="s">
        <v>87</v>
      </c>
      <c r="D41" s="30">
        <f>SUM(D42:D43)</f>
        <v>0</v>
      </c>
      <c r="E41" s="30">
        <f aca="true" t="shared" si="14" ref="E41:M41">SUM(E42:E43)</f>
        <v>0</v>
      </c>
      <c r="F41" s="30">
        <f t="shared" si="14"/>
        <v>0</v>
      </c>
      <c r="G41" s="30">
        <f t="shared" si="14"/>
        <v>1997752</v>
      </c>
      <c r="H41" s="30">
        <f t="shared" si="14"/>
        <v>0</v>
      </c>
      <c r="I41" s="30">
        <f t="shared" si="14"/>
        <v>0</v>
      </c>
      <c r="J41" s="30">
        <f t="shared" si="14"/>
        <v>0</v>
      </c>
      <c r="K41" s="30">
        <f t="shared" si="14"/>
        <v>1997752</v>
      </c>
      <c r="L41" s="30">
        <f t="shared" si="14"/>
        <v>1997752</v>
      </c>
      <c r="M41" s="30">
        <f t="shared" si="14"/>
        <v>0</v>
      </c>
      <c r="N41" s="30">
        <f t="shared" si="12"/>
        <v>1997752</v>
      </c>
    </row>
    <row r="42" spans="1:14" s="26" customFormat="1" ht="15">
      <c r="A42" s="22" t="s">
        <v>117</v>
      </c>
      <c r="B42" s="23">
        <v>150101</v>
      </c>
      <c r="C42" s="24" t="s">
        <v>88</v>
      </c>
      <c r="D42" s="25"/>
      <c r="E42" s="25"/>
      <c r="F42" s="25"/>
      <c r="G42" s="25">
        <f aca="true" t="shared" si="15" ref="G42:G47">H42+K42</f>
        <v>1889752</v>
      </c>
      <c r="H42" s="25"/>
      <c r="I42" s="25"/>
      <c r="J42" s="25"/>
      <c r="K42" s="36">
        <f>90400+234473+84979+510000+677204.8-84979-9521+500000-112804.8</f>
        <v>1889752</v>
      </c>
      <c r="L42" s="36">
        <f>90400+234473+84979+510000+677204.8-84979-9521+500000-112804.8</f>
        <v>1889752</v>
      </c>
      <c r="M42" s="25"/>
      <c r="N42" s="25">
        <f t="shared" si="12"/>
        <v>1889752</v>
      </c>
    </row>
    <row r="43" spans="1:14" s="26" customFormat="1" ht="28.5">
      <c r="A43" s="34" t="s">
        <v>176</v>
      </c>
      <c r="B43" s="37">
        <v>150202</v>
      </c>
      <c r="C43" s="38" t="s">
        <v>175</v>
      </c>
      <c r="D43" s="27"/>
      <c r="E43" s="27"/>
      <c r="F43" s="27"/>
      <c r="G43" s="27">
        <f t="shared" si="15"/>
        <v>108000</v>
      </c>
      <c r="H43" s="27"/>
      <c r="I43" s="27"/>
      <c r="J43" s="27"/>
      <c r="K43" s="27">
        <f>25000+83000+85000-85000</f>
        <v>108000</v>
      </c>
      <c r="L43" s="27">
        <f>25000+83000+85000-85000</f>
        <v>108000</v>
      </c>
      <c r="M43" s="27"/>
      <c r="N43" s="27">
        <f t="shared" si="12"/>
        <v>108000</v>
      </c>
    </row>
    <row r="44" spans="1:14" ht="45">
      <c r="A44" s="8"/>
      <c r="B44" s="18">
        <v>170000</v>
      </c>
      <c r="C44" s="15" t="s">
        <v>20</v>
      </c>
      <c r="D44" s="16">
        <f>D45</f>
        <v>0</v>
      </c>
      <c r="E44" s="16">
        <f>E45</f>
        <v>0</v>
      </c>
      <c r="F44" s="16">
        <f>F45</f>
        <v>0</v>
      </c>
      <c r="G44" s="16">
        <f t="shared" si="15"/>
        <v>5662072.69</v>
      </c>
      <c r="H44" s="16">
        <f aca="true" t="shared" si="16" ref="H44:M44">SUM(H45:H47)</f>
        <v>2104690.12</v>
      </c>
      <c r="I44" s="16">
        <f t="shared" si="16"/>
        <v>0</v>
      </c>
      <c r="J44" s="16">
        <f t="shared" si="16"/>
        <v>0</v>
      </c>
      <c r="K44" s="16">
        <f t="shared" si="16"/>
        <v>3557382.5700000003</v>
      </c>
      <c r="L44" s="16">
        <f t="shared" si="16"/>
        <v>310979</v>
      </c>
      <c r="M44" s="16">
        <f t="shared" si="16"/>
        <v>0</v>
      </c>
      <c r="N44" s="16">
        <f t="shared" si="12"/>
        <v>5662072.69</v>
      </c>
    </row>
    <row r="45" spans="1:14" ht="85.5">
      <c r="A45" s="8" t="s">
        <v>105</v>
      </c>
      <c r="B45" s="9">
        <v>170703</v>
      </c>
      <c r="C45" s="6" t="s">
        <v>170</v>
      </c>
      <c r="D45" s="11"/>
      <c r="E45" s="11"/>
      <c r="F45" s="11"/>
      <c r="G45" s="35">
        <f t="shared" si="15"/>
        <v>1270244.79</v>
      </c>
      <c r="H45" s="36">
        <f>942700+16565.79</f>
        <v>959265.79</v>
      </c>
      <c r="I45" s="36"/>
      <c r="J45" s="36"/>
      <c r="K45" s="27">
        <f>226000+84979</f>
        <v>310979</v>
      </c>
      <c r="L45" s="27">
        <f>226000+84979</f>
        <v>310979</v>
      </c>
      <c r="M45" s="35"/>
      <c r="N45" s="35">
        <f t="shared" si="12"/>
        <v>1270244.79</v>
      </c>
    </row>
    <row r="46" spans="1:14" s="26" customFormat="1" ht="71.25">
      <c r="A46" s="22"/>
      <c r="B46" s="23">
        <v>170703</v>
      </c>
      <c r="C46" s="24" t="s">
        <v>181</v>
      </c>
      <c r="D46" s="25"/>
      <c r="E46" s="25"/>
      <c r="F46" s="25"/>
      <c r="G46" s="39">
        <f t="shared" si="15"/>
        <v>3177648.1</v>
      </c>
      <c r="H46" s="36">
        <f>720300+63595.75+94600-3200</f>
        <v>875295.75</v>
      </c>
      <c r="I46" s="36"/>
      <c r="J46" s="36"/>
      <c r="K46" s="36">
        <f>1530500+567452.35+201200+3200</f>
        <v>2302352.35</v>
      </c>
      <c r="L46" s="36"/>
      <c r="M46" s="39"/>
      <c r="N46" s="39">
        <f>D46+G46</f>
        <v>3177648.1</v>
      </c>
    </row>
    <row r="47" spans="1:14" s="26" customFormat="1" ht="71.25">
      <c r="A47" s="22"/>
      <c r="B47" s="23">
        <v>170703</v>
      </c>
      <c r="C47" s="24" t="s">
        <v>182</v>
      </c>
      <c r="D47" s="44"/>
      <c r="E47" s="44"/>
      <c r="F47" s="44"/>
      <c r="G47" s="36">
        <f t="shared" si="15"/>
        <v>1214179.8</v>
      </c>
      <c r="H47" s="36">
        <f>269000-1600+2728.58</f>
        <v>270128.58</v>
      </c>
      <c r="I47" s="36"/>
      <c r="J47" s="36"/>
      <c r="K47" s="36">
        <f>571500+372651.22+1600-1700</f>
        <v>944051.22</v>
      </c>
      <c r="L47" s="36"/>
      <c r="M47" s="36"/>
      <c r="N47" s="36">
        <f>D47+G47</f>
        <v>1214179.8</v>
      </c>
    </row>
    <row r="48" spans="1:14" s="26" customFormat="1" ht="30">
      <c r="A48" s="22"/>
      <c r="B48" s="40">
        <v>180000</v>
      </c>
      <c r="C48" s="41" t="s">
        <v>178</v>
      </c>
      <c r="D48" s="33">
        <f>D49</f>
        <v>0</v>
      </c>
      <c r="E48" s="33">
        <f aca="true" t="shared" si="17" ref="E48:M48">E49</f>
        <v>0</v>
      </c>
      <c r="F48" s="33">
        <f t="shared" si="17"/>
        <v>0</v>
      </c>
      <c r="G48" s="33">
        <f t="shared" si="17"/>
        <v>1142000</v>
      </c>
      <c r="H48" s="33">
        <f t="shared" si="17"/>
        <v>0</v>
      </c>
      <c r="I48" s="33">
        <f t="shared" si="17"/>
        <v>0</v>
      </c>
      <c r="J48" s="33">
        <f t="shared" si="17"/>
        <v>0</v>
      </c>
      <c r="K48" s="33">
        <f t="shared" si="17"/>
        <v>1142000</v>
      </c>
      <c r="L48" s="33">
        <f t="shared" si="17"/>
        <v>1142000</v>
      </c>
      <c r="M48" s="33">
        <f t="shared" si="17"/>
        <v>0</v>
      </c>
      <c r="N48" s="33">
        <f>D48+G48</f>
        <v>1142000</v>
      </c>
    </row>
    <row r="49" spans="1:14" s="26" customFormat="1" ht="71.25">
      <c r="A49" s="34" t="s">
        <v>173</v>
      </c>
      <c r="B49" s="42">
        <v>180409</v>
      </c>
      <c r="C49" s="24" t="s">
        <v>179</v>
      </c>
      <c r="D49" s="27"/>
      <c r="E49" s="27"/>
      <c r="F49" s="27"/>
      <c r="G49" s="27">
        <f>H49+K49</f>
        <v>1142000</v>
      </c>
      <c r="H49" s="27"/>
      <c r="I49" s="27"/>
      <c r="J49" s="27"/>
      <c r="K49" s="27">
        <f>50000+420000+422000+150000+100000</f>
        <v>1142000</v>
      </c>
      <c r="L49" s="27">
        <f>50000+420000+422000+150000+100000</f>
        <v>1142000</v>
      </c>
      <c r="M49" s="27"/>
      <c r="N49" s="27">
        <f>D49+G49</f>
        <v>1142000</v>
      </c>
    </row>
    <row r="50" spans="1:14" ht="45">
      <c r="A50" s="8"/>
      <c r="B50" s="18">
        <v>210000</v>
      </c>
      <c r="C50" s="15" t="s">
        <v>21</v>
      </c>
      <c r="D50" s="16">
        <f>SUM(D51:D53)</f>
        <v>319999.58</v>
      </c>
      <c r="E50" s="16">
        <f aca="true" t="shared" si="18" ref="E50:M50">SUM(E51:E53)</f>
        <v>0</v>
      </c>
      <c r="F50" s="16">
        <f t="shared" si="18"/>
        <v>0</v>
      </c>
      <c r="G50" s="16">
        <f t="shared" si="18"/>
        <v>84280</v>
      </c>
      <c r="H50" s="16">
        <f t="shared" si="18"/>
        <v>0</v>
      </c>
      <c r="I50" s="16">
        <f t="shared" si="18"/>
        <v>0</v>
      </c>
      <c r="J50" s="16">
        <f t="shared" si="18"/>
        <v>0</v>
      </c>
      <c r="K50" s="16">
        <f t="shared" si="18"/>
        <v>84280</v>
      </c>
      <c r="L50" s="16">
        <f t="shared" si="18"/>
        <v>84280</v>
      </c>
      <c r="M50" s="16">
        <f t="shared" si="18"/>
        <v>0</v>
      </c>
      <c r="N50" s="16">
        <f>G50+D50</f>
        <v>404279.58</v>
      </c>
    </row>
    <row r="51" spans="1:14" ht="42.75">
      <c r="A51" s="8"/>
      <c r="B51" s="37">
        <v>210105</v>
      </c>
      <c r="C51" s="6" t="s">
        <v>187</v>
      </c>
      <c r="D51" s="12">
        <f>11656.58+8451</f>
        <v>20107.58</v>
      </c>
      <c r="E51" s="16"/>
      <c r="F51" s="16"/>
      <c r="G51" s="11">
        <f>H51+K51</f>
        <v>0</v>
      </c>
      <c r="H51" s="16"/>
      <c r="I51" s="16"/>
      <c r="J51" s="16"/>
      <c r="K51" s="16"/>
      <c r="L51" s="16"/>
      <c r="M51" s="16"/>
      <c r="N51" s="11">
        <f>D51+G51</f>
        <v>20107.58</v>
      </c>
    </row>
    <row r="52" spans="1:14" ht="57">
      <c r="A52" s="8"/>
      <c r="B52" s="31">
        <v>210106</v>
      </c>
      <c r="C52" s="47" t="s">
        <v>177</v>
      </c>
      <c r="D52" s="12">
        <f>20000+55000+24892</f>
        <v>99892</v>
      </c>
      <c r="E52" s="16"/>
      <c r="F52" s="16"/>
      <c r="G52" s="11">
        <f>H52+K52</f>
        <v>54000</v>
      </c>
      <c r="H52" s="16"/>
      <c r="I52" s="16"/>
      <c r="J52" s="16"/>
      <c r="K52" s="12">
        <f>24000+30000+10900-10900</f>
        <v>54000</v>
      </c>
      <c r="L52" s="12">
        <f>24000+30000+10900-10900</f>
        <v>54000</v>
      </c>
      <c r="M52" s="16"/>
      <c r="N52" s="11">
        <f>D52+G52</f>
        <v>153892</v>
      </c>
    </row>
    <row r="53" spans="1:14" ht="28.5">
      <c r="A53" s="8" t="s">
        <v>118</v>
      </c>
      <c r="B53" s="9">
        <v>210110</v>
      </c>
      <c r="C53" s="6" t="s">
        <v>22</v>
      </c>
      <c r="D53" s="27">
        <f>200000</f>
        <v>200000</v>
      </c>
      <c r="E53" s="11"/>
      <c r="F53" s="11"/>
      <c r="G53" s="11">
        <f>H53+K53</f>
        <v>30280</v>
      </c>
      <c r="H53" s="11"/>
      <c r="I53" s="11"/>
      <c r="J53" s="11"/>
      <c r="K53" s="12">
        <f>30280</f>
        <v>30280</v>
      </c>
      <c r="L53" s="12">
        <f>30280</f>
        <v>30280</v>
      </c>
      <c r="M53" s="11"/>
      <c r="N53" s="11">
        <f>D53+G53</f>
        <v>230280</v>
      </c>
    </row>
    <row r="54" spans="1:14" ht="15">
      <c r="A54" s="8"/>
      <c r="B54" s="18">
        <v>240000</v>
      </c>
      <c r="C54" s="15" t="s">
        <v>23</v>
      </c>
      <c r="D54" s="16">
        <f>D55+D57</f>
        <v>0</v>
      </c>
      <c r="E54" s="16">
        <f aca="true" t="shared" si="19" ref="E54:M54">E55+E57</f>
        <v>0</v>
      </c>
      <c r="F54" s="16">
        <f t="shared" si="19"/>
        <v>0</v>
      </c>
      <c r="G54" s="16">
        <f t="shared" si="19"/>
        <v>70722.89</v>
      </c>
      <c r="H54" s="16">
        <f t="shared" si="19"/>
        <v>70722.89</v>
      </c>
      <c r="I54" s="16">
        <f t="shared" si="19"/>
        <v>0</v>
      </c>
      <c r="J54" s="16">
        <f t="shared" si="19"/>
        <v>0</v>
      </c>
      <c r="K54" s="16">
        <f t="shared" si="19"/>
        <v>0</v>
      </c>
      <c r="L54" s="16">
        <f t="shared" si="19"/>
        <v>0</v>
      </c>
      <c r="M54" s="16">
        <f t="shared" si="19"/>
        <v>0</v>
      </c>
      <c r="N54" s="16">
        <f t="shared" si="12"/>
        <v>70722.89</v>
      </c>
    </row>
    <row r="55" spans="1:14" ht="42.75">
      <c r="A55" s="8" t="s">
        <v>119</v>
      </c>
      <c r="B55" s="9">
        <v>240601</v>
      </c>
      <c r="C55" s="6" t="s">
        <v>63</v>
      </c>
      <c r="D55" s="11"/>
      <c r="E55" s="11"/>
      <c r="F55" s="11"/>
      <c r="G55" s="11">
        <f>H55+K55</f>
        <v>67500</v>
      </c>
      <c r="H55" s="11">
        <f>H56</f>
        <v>67500</v>
      </c>
      <c r="I55" s="11"/>
      <c r="J55" s="11"/>
      <c r="K55" s="11"/>
      <c r="L55" s="11"/>
      <c r="M55" s="11"/>
      <c r="N55" s="11">
        <f t="shared" si="12"/>
        <v>67500</v>
      </c>
    </row>
    <row r="56" spans="1:14" ht="28.5">
      <c r="A56" s="8"/>
      <c r="B56" s="9">
        <v>240601</v>
      </c>
      <c r="C56" s="6" t="s">
        <v>52</v>
      </c>
      <c r="D56" s="11"/>
      <c r="E56" s="11"/>
      <c r="F56" s="11"/>
      <c r="G56" s="11">
        <f>H56+K56</f>
        <v>67500</v>
      </c>
      <c r="H56" s="11">
        <f>37600+29900</f>
        <v>67500</v>
      </c>
      <c r="I56" s="11"/>
      <c r="J56" s="11"/>
      <c r="K56" s="11"/>
      <c r="L56" s="11"/>
      <c r="M56" s="11"/>
      <c r="N56" s="11">
        <f t="shared" si="12"/>
        <v>67500</v>
      </c>
    </row>
    <row r="57" spans="1:14" ht="15">
      <c r="A57" s="8" t="s">
        <v>119</v>
      </c>
      <c r="B57" s="9">
        <v>240602</v>
      </c>
      <c r="C57" s="6" t="s">
        <v>64</v>
      </c>
      <c r="D57" s="11"/>
      <c r="E57" s="11"/>
      <c r="F57" s="11"/>
      <c r="G57" s="11">
        <f>H57+K57</f>
        <v>3222.8899999999994</v>
      </c>
      <c r="H57" s="11">
        <f>SUM(H58:H58)</f>
        <v>3222.8899999999994</v>
      </c>
      <c r="I57" s="11"/>
      <c r="J57" s="11"/>
      <c r="K57" s="11">
        <f>SUM(K58:K58)</f>
        <v>0</v>
      </c>
      <c r="L57" s="11"/>
      <c r="M57" s="11"/>
      <c r="N57" s="11">
        <f t="shared" si="12"/>
        <v>3222.8899999999994</v>
      </c>
    </row>
    <row r="58" spans="1:14" ht="15">
      <c r="A58" s="8"/>
      <c r="B58" s="9">
        <v>240602</v>
      </c>
      <c r="C58" s="6" t="s">
        <v>48</v>
      </c>
      <c r="D58" s="11"/>
      <c r="E58" s="11"/>
      <c r="F58" s="11"/>
      <c r="G58" s="11">
        <f>H58+K58</f>
        <v>3222.8899999999994</v>
      </c>
      <c r="H58" s="11">
        <f>30000+3122.89-29900</f>
        <v>3222.8899999999994</v>
      </c>
      <c r="I58" s="11"/>
      <c r="J58" s="11"/>
      <c r="K58" s="11"/>
      <c r="L58" s="11"/>
      <c r="M58" s="11"/>
      <c r="N58" s="11">
        <f aca="true" t="shared" si="20" ref="N58:N112">D58+G58</f>
        <v>3222.8899999999994</v>
      </c>
    </row>
    <row r="59" spans="1:14" ht="30">
      <c r="A59" s="8"/>
      <c r="B59" s="18">
        <v>250000</v>
      </c>
      <c r="C59" s="15" t="s">
        <v>24</v>
      </c>
      <c r="D59" s="19">
        <f aca="true" t="shared" si="21" ref="D59:J59">SUM(D60:D62)</f>
        <v>406514.41</v>
      </c>
      <c r="E59" s="19">
        <f t="shared" si="21"/>
        <v>0</v>
      </c>
      <c r="F59" s="19">
        <f t="shared" si="21"/>
        <v>0</v>
      </c>
      <c r="G59" s="19">
        <f t="shared" si="21"/>
        <v>693154.8</v>
      </c>
      <c r="H59" s="19">
        <f t="shared" si="21"/>
        <v>0</v>
      </c>
      <c r="I59" s="19">
        <f t="shared" si="21"/>
        <v>0</v>
      </c>
      <c r="J59" s="19">
        <f t="shared" si="21"/>
        <v>0</v>
      </c>
      <c r="K59" s="19">
        <f>SUM(K60:K62)</f>
        <v>693154.8</v>
      </c>
      <c r="L59" s="19">
        <f>SUM(L60:L62)</f>
        <v>693154.8</v>
      </c>
      <c r="M59" s="19">
        <f>SUM(M60:M62)</f>
        <v>0</v>
      </c>
      <c r="N59" s="16">
        <f t="shared" si="20"/>
        <v>1099669.21</v>
      </c>
    </row>
    <row r="60" spans="1:14" ht="42.75">
      <c r="A60" s="8"/>
      <c r="B60" s="43">
        <v>250403</v>
      </c>
      <c r="C60" s="6" t="s">
        <v>180</v>
      </c>
      <c r="D60" s="27">
        <f>48888.37+13690+14582.05+1314.3+31182.7+51970+59145.2+1170.46+13878.22+900+18000+13.31+288</f>
        <v>255022.61</v>
      </c>
      <c r="E60" s="27"/>
      <c r="F60" s="27"/>
      <c r="G60" s="27">
        <f>H60+K60</f>
        <v>213154.8</v>
      </c>
      <c r="H60" s="27"/>
      <c r="I60" s="27"/>
      <c r="J60" s="27"/>
      <c r="K60" s="27">
        <f>10900+4450+85000+112804.8</f>
        <v>213154.8</v>
      </c>
      <c r="L60" s="27">
        <f>10900+4450+85000+112804.8</f>
        <v>213154.8</v>
      </c>
      <c r="M60" s="27"/>
      <c r="N60" s="27">
        <f t="shared" si="20"/>
        <v>468177.41</v>
      </c>
    </row>
    <row r="61" spans="1:14" ht="15">
      <c r="A61" s="8" t="s">
        <v>120</v>
      </c>
      <c r="B61" s="9">
        <v>250404</v>
      </c>
      <c r="C61" s="6" t="s">
        <v>25</v>
      </c>
      <c r="D61" s="12">
        <f>310637-59145.2-100000</f>
        <v>151491.8</v>
      </c>
      <c r="E61" s="12"/>
      <c r="F61" s="12"/>
      <c r="G61" s="12">
        <f>H61+K61</f>
        <v>0</v>
      </c>
      <c r="H61" s="12"/>
      <c r="I61" s="12"/>
      <c r="J61" s="12"/>
      <c r="K61" s="11">
        <f>20000-20000</f>
        <v>0</v>
      </c>
      <c r="L61" s="11">
        <f>20000-20000</f>
        <v>0</v>
      </c>
      <c r="M61" s="12"/>
      <c r="N61" s="12">
        <f t="shared" si="20"/>
        <v>151491.8</v>
      </c>
    </row>
    <row r="62" spans="1:14" ht="57">
      <c r="A62" s="8" t="s">
        <v>191</v>
      </c>
      <c r="B62" s="48">
        <v>250344</v>
      </c>
      <c r="C62" s="49" t="s">
        <v>188</v>
      </c>
      <c r="D62" s="12"/>
      <c r="E62" s="12"/>
      <c r="F62" s="12"/>
      <c r="G62" s="12">
        <f>H62+K62</f>
        <v>480000</v>
      </c>
      <c r="H62" s="12"/>
      <c r="I62" s="12"/>
      <c r="J62" s="12"/>
      <c r="K62" s="11">
        <f>480000</f>
        <v>480000</v>
      </c>
      <c r="L62" s="11">
        <f>480000</f>
        <v>480000</v>
      </c>
      <c r="M62" s="12"/>
      <c r="N62" s="12">
        <f t="shared" si="20"/>
        <v>480000</v>
      </c>
    </row>
    <row r="63" spans="1:14" ht="30">
      <c r="A63" s="8"/>
      <c r="B63" s="20">
        <v>10</v>
      </c>
      <c r="C63" s="15" t="s">
        <v>26</v>
      </c>
      <c r="D63" s="16">
        <f>D64+D72+D74+D76</f>
        <v>45281548.22</v>
      </c>
      <c r="E63" s="16">
        <f aca="true" t="shared" si="22" ref="E63:M63">E64+E72+E74+E76</f>
        <v>27631838</v>
      </c>
      <c r="F63" s="16">
        <f t="shared" si="22"/>
        <v>3885691</v>
      </c>
      <c r="G63" s="16">
        <f t="shared" si="22"/>
        <v>3396081</v>
      </c>
      <c r="H63" s="16">
        <f t="shared" si="22"/>
        <v>2284437</v>
      </c>
      <c r="I63" s="16">
        <f t="shared" si="22"/>
        <v>488580</v>
      </c>
      <c r="J63" s="16">
        <f t="shared" si="22"/>
        <v>116397</v>
      </c>
      <c r="K63" s="16">
        <f t="shared" si="22"/>
        <v>1111644</v>
      </c>
      <c r="L63" s="16">
        <f t="shared" si="22"/>
        <v>1070664</v>
      </c>
      <c r="M63" s="16">
        <f t="shared" si="22"/>
        <v>0</v>
      </c>
      <c r="N63" s="16">
        <f t="shared" si="20"/>
        <v>48677629.22</v>
      </c>
    </row>
    <row r="64" spans="1:14" ht="15">
      <c r="A64" s="8"/>
      <c r="B64" s="18">
        <v>70000</v>
      </c>
      <c r="C64" s="15" t="s">
        <v>27</v>
      </c>
      <c r="D64" s="16">
        <f>SUM(D65:D71)</f>
        <v>43391308</v>
      </c>
      <c r="E64" s="16">
        <f aca="true" t="shared" si="23" ref="E64:M64">SUM(E65:E71)</f>
        <v>26916298</v>
      </c>
      <c r="F64" s="16">
        <f t="shared" si="23"/>
        <v>3803089</v>
      </c>
      <c r="G64" s="16">
        <f t="shared" si="23"/>
        <v>3317945</v>
      </c>
      <c r="H64" s="16">
        <f t="shared" si="23"/>
        <v>2284437</v>
      </c>
      <c r="I64" s="16">
        <f t="shared" si="23"/>
        <v>488580</v>
      </c>
      <c r="J64" s="16">
        <f t="shared" si="23"/>
        <v>116397</v>
      </c>
      <c r="K64" s="16">
        <f t="shared" si="23"/>
        <v>1033508</v>
      </c>
      <c r="L64" s="16">
        <f t="shared" si="23"/>
        <v>992528</v>
      </c>
      <c r="M64" s="16">
        <f t="shared" si="23"/>
        <v>0</v>
      </c>
      <c r="N64" s="16">
        <f t="shared" si="20"/>
        <v>46709253</v>
      </c>
    </row>
    <row r="65" spans="1:14" ht="15">
      <c r="A65" s="8" t="s">
        <v>121</v>
      </c>
      <c r="B65" s="9">
        <v>70101</v>
      </c>
      <c r="C65" s="6" t="s">
        <v>28</v>
      </c>
      <c r="D65" s="27">
        <f>14451378+1-627453</f>
        <v>13823926</v>
      </c>
      <c r="E65" s="27">
        <f>8259482+5135-252974</f>
        <v>8011643</v>
      </c>
      <c r="F65" s="27">
        <f>1667795+1</f>
        <v>1667796</v>
      </c>
      <c r="G65" s="11">
        <f aca="true" t="shared" si="24" ref="G65:G71">H65+K65</f>
        <v>1496766</v>
      </c>
      <c r="H65" s="35">
        <f>1261018</f>
        <v>1261018</v>
      </c>
      <c r="I65" s="35">
        <f>57312</f>
        <v>57312</v>
      </c>
      <c r="J65" s="35"/>
      <c r="K65" s="27">
        <f>13720+32028+190000</f>
        <v>235748</v>
      </c>
      <c r="L65" s="27">
        <f>32028+190000</f>
        <v>222028</v>
      </c>
      <c r="M65" s="11"/>
      <c r="N65" s="11">
        <f t="shared" si="20"/>
        <v>15320692</v>
      </c>
    </row>
    <row r="66" spans="1:14" ht="57">
      <c r="A66" s="8" t="s">
        <v>121</v>
      </c>
      <c r="B66" s="9">
        <v>70201</v>
      </c>
      <c r="C66" s="6" t="s">
        <v>29</v>
      </c>
      <c r="D66" s="27">
        <f>26908277+642019-1165264-642019</f>
        <v>25743013</v>
      </c>
      <c r="E66" s="27">
        <f>16948085-605121</f>
        <v>16342964</v>
      </c>
      <c r="F66" s="27">
        <f>2033077</f>
        <v>2033077</v>
      </c>
      <c r="G66" s="11">
        <f t="shared" si="24"/>
        <v>1155500</v>
      </c>
      <c r="H66" s="27">
        <f>361045</f>
        <v>361045</v>
      </c>
      <c r="I66" s="27">
        <f>50430</f>
        <v>50430</v>
      </c>
      <c r="J66" s="27">
        <f>106874</f>
        <v>106874</v>
      </c>
      <c r="K66" s="27">
        <f>23955+550500+220000</f>
        <v>794455</v>
      </c>
      <c r="L66" s="27">
        <f>550500+220000</f>
        <v>770500</v>
      </c>
      <c r="M66" s="11"/>
      <c r="N66" s="11">
        <f t="shared" si="20"/>
        <v>26898513</v>
      </c>
    </row>
    <row r="67" spans="1:14" ht="28.5">
      <c r="A67" s="8" t="s">
        <v>122</v>
      </c>
      <c r="B67" s="9">
        <v>70401</v>
      </c>
      <c r="C67" s="6" t="s">
        <v>30</v>
      </c>
      <c r="D67" s="27">
        <f>1458250-63634</f>
        <v>1394616</v>
      </c>
      <c r="E67" s="27">
        <f>963649-46754</f>
        <v>916895</v>
      </c>
      <c r="F67" s="27">
        <f>1284</f>
        <v>1284</v>
      </c>
      <c r="G67" s="11">
        <f t="shared" si="24"/>
        <v>0</v>
      </c>
      <c r="H67" s="11"/>
      <c r="I67" s="11"/>
      <c r="J67" s="11"/>
      <c r="K67" s="11"/>
      <c r="L67" s="11"/>
      <c r="M67" s="11"/>
      <c r="N67" s="11">
        <f t="shared" si="20"/>
        <v>1394616</v>
      </c>
    </row>
    <row r="68" spans="1:14" ht="28.5">
      <c r="A68" s="8" t="s">
        <v>123</v>
      </c>
      <c r="B68" s="9">
        <v>70802</v>
      </c>
      <c r="C68" s="6" t="s">
        <v>31</v>
      </c>
      <c r="D68" s="27">
        <f>623177-32028</f>
        <v>591149</v>
      </c>
      <c r="E68" s="27">
        <f>429729-23479</f>
        <v>406250</v>
      </c>
      <c r="F68" s="27">
        <f>12860</f>
        <v>12860</v>
      </c>
      <c r="G68" s="11">
        <f t="shared" si="24"/>
        <v>0</v>
      </c>
      <c r="H68" s="11"/>
      <c r="I68" s="11"/>
      <c r="J68" s="11"/>
      <c r="K68" s="11"/>
      <c r="L68" s="11"/>
      <c r="M68" s="11"/>
      <c r="N68" s="11">
        <f t="shared" si="20"/>
        <v>591149</v>
      </c>
    </row>
    <row r="69" spans="1:14" ht="28.5" customHeight="1">
      <c r="A69" s="8" t="s">
        <v>124</v>
      </c>
      <c r="B69" s="9">
        <v>70804</v>
      </c>
      <c r="C69" s="6" t="s">
        <v>32</v>
      </c>
      <c r="D69" s="27">
        <f>1028884-50840</f>
        <v>978044</v>
      </c>
      <c r="E69" s="27">
        <f>708879-37303</f>
        <v>671576</v>
      </c>
      <c r="F69" s="27">
        <f>18404</f>
        <v>18404</v>
      </c>
      <c r="G69" s="11">
        <f t="shared" si="24"/>
        <v>0</v>
      </c>
      <c r="H69" s="11"/>
      <c r="I69" s="11"/>
      <c r="J69" s="11"/>
      <c r="K69" s="11"/>
      <c r="L69" s="11"/>
      <c r="M69" s="11"/>
      <c r="N69" s="11">
        <f t="shared" si="20"/>
        <v>978044</v>
      </c>
    </row>
    <row r="70" spans="1:14" ht="15">
      <c r="A70" s="8" t="s">
        <v>125</v>
      </c>
      <c r="B70" s="9">
        <v>70806</v>
      </c>
      <c r="C70" s="6" t="s">
        <v>33</v>
      </c>
      <c r="D70" s="27">
        <f>888941-46481</f>
        <v>842460</v>
      </c>
      <c r="E70" s="27">
        <f>601375-34405</f>
        <v>566970</v>
      </c>
      <c r="F70" s="27">
        <f>69668</f>
        <v>69668</v>
      </c>
      <c r="G70" s="11">
        <f t="shared" si="24"/>
        <v>665679</v>
      </c>
      <c r="H70" s="27">
        <f>662374</f>
        <v>662374</v>
      </c>
      <c r="I70" s="27">
        <f>380838</f>
        <v>380838</v>
      </c>
      <c r="J70" s="27">
        <f>9523</f>
        <v>9523</v>
      </c>
      <c r="K70" s="27">
        <f>3305</f>
        <v>3305</v>
      </c>
      <c r="L70" s="11"/>
      <c r="M70" s="11"/>
      <c r="N70" s="11">
        <f t="shared" si="20"/>
        <v>1508139</v>
      </c>
    </row>
    <row r="71" spans="1:14" ht="57">
      <c r="A71" s="8" t="s">
        <v>126</v>
      </c>
      <c r="B71" s="9">
        <v>70808</v>
      </c>
      <c r="C71" s="6" t="s">
        <v>34</v>
      </c>
      <c r="D71" s="27">
        <f>18100</f>
        <v>18100</v>
      </c>
      <c r="E71" s="27"/>
      <c r="F71" s="27"/>
      <c r="G71" s="11">
        <f t="shared" si="24"/>
        <v>0</v>
      </c>
      <c r="H71" s="11"/>
      <c r="I71" s="11"/>
      <c r="J71" s="11"/>
      <c r="K71" s="11"/>
      <c r="L71" s="11"/>
      <c r="M71" s="16">
        <f>M72</f>
        <v>0</v>
      </c>
      <c r="N71" s="11">
        <f t="shared" si="20"/>
        <v>18100</v>
      </c>
    </row>
    <row r="72" spans="1:14" ht="30">
      <c r="A72" s="8"/>
      <c r="B72" s="18">
        <v>90000</v>
      </c>
      <c r="C72" s="15" t="s">
        <v>11</v>
      </c>
      <c r="D72" s="16">
        <f>D73</f>
        <v>150000</v>
      </c>
      <c r="E72" s="16">
        <f>E73</f>
        <v>0</v>
      </c>
      <c r="F72" s="16">
        <f>F73</f>
        <v>0</v>
      </c>
      <c r="G72" s="16">
        <f>H72+K72</f>
        <v>0</v>
      </c>
      <c r="H72" s="16">
        <f>H73</f>
        <v>0</v>
      </c>
      <c r="I72" s="16">
        <f>I73</f>
        <v>0</v>
      </c>
      <c r="J72" s="16">
        <f>J73</f>
        <v>0</v>
      </c>
      <c r="K72" s="16">
        <f>K73</f>
        <v>0</v>
      </c>
      <c r="L72" s="16">
        <f>L73</f>
        <v>0</v>
      </c>
      <c r="M72" s="16">
        <f>M73</f>
        <v>0</v>
      </c>
      <c r="N72" s="16">
        <f t="shared" si="20"/>
        <v>150000</v>
      </c>
    </row>
    <row r="73" spans="1:14" s="13" customFormat="1" ht="90.75" customHeight="1">
      <c r="A73" s="8" t="s">
        <v>127</v>
      </c>
      <c r="B73" s="9">
        <v>91108</v>
      </c>
      <c r="C73" s="10" t="s">
        <v>61</v>
      </c>
      <c r="D73" s="11">
        <f>190000-10000-30000</f>
        <v>150000</v>
      </c>
      <c r="E73" s="11"/>
      <c r="F73" s="11"/>
      <c r="G73" s="11">
        <f>H73+K73</f>
        <v>0</v>
      </c>
      <c r="H73" s="16"/>
      <c r="I73" s="16"/>
      <c r="J73" s="16"/>
      <c r="K73" s="16"/>
      <c r="L73" s="16"/>
      <c r="M73" s="16"/>
      <c r="N73" s="11">
        <f t="shared" si="20"/>
        <v>150000</v>
      </c>
    </row>
    <row r="74" spans="1:14" ht="15">
      <c r="A74" s="8"/>
      <c r="B74" s="18">
        <v>130000</v>
      </c>
      <c r="C74" s="15" t="s">
        <v>18</v>
      </c>
      <c r="D74" s="19">
        <f>D75</f>
        <v>1267034</v>
      </c>
      <c r="E74" s="19">
        <f>E75</f>
        <v>715540</v>
      </c>
      <c r="F74" s="19">
        <f>F75</f>
        <v>82602</v>
      </c>
      <c r="G74" s="16">
        <f>H74+K74</f>
        <v>4000</v>
      </c>
      <c r="H74" s="19">
        <f aca="true" t="shared" si="25" ref="H74:M74">H75</f>
        <v>0</v>
      </c>
      <c r="I74" s="19">
        <f t="shared" si="25"/>
        <v>0</v>
      </c>
      <c r="J74" s="19">
        <f t="shared" si="25"/>
        <v>0</v>
      </c>
      <c r="K74" s="19">
        <f t="shared" si="25"/>
        <v>4000</v>
      </c>
      <c r="L74" s="19">
        <f t="shared" si="25"/>
        <v>4000</v>
      </c>
      <c r="M74" s="19">
        <f t="shared" si="25"/>
        <v>0</v>
      </c>
      <c r="N74" s="16">
        <f t="shared" si="20"/>
        <v>1271034</v>
      </c>
    </row>
    <row r="75" spans="1:14" ht="42.75">
      <c r="A75" s="8" t="s">
        <v>128</v>
      </c>
      <c r="B75" s="9">
        <v>130107</v>
      </c>
      <c r="C75" s="6" t="s">
        <v>98</v>
      </c>
      <c r="D75" s="12">
        <f>1235734-28700+60000</f>
        <v>1267034</v>
      </c>
      <c r="E75" s="12">
        <f>736680-21140</f>
        <v>715540</v>
      </c>
      <c r="F75" s="12">
        <f>82602</f>
        <v>82602</v>
      </c>
      <c r="G75" s="11">
        <f>H75+K75</f>
        <v>4000</v>
      </c>
      <c r="H75" s="11"/>
      <c r="I75" s="11"/>
      <c r="J75" s="11"/>
      <c r="K75" s="11">
        <f>4000+39240+34896-39240-34896</f>
        <v>4000</v>
      </c>
      <c r="L75" s="11">
        <f>4000+39240+34896-39240-34896</f>
        <v>4000</v>
      </c>
      <c r="M75" s="11"/>
      <c r="N75" s="11">
        <f t="shared" si="20"/>
        <v>1271034</v>
      </c>
    </row>
    <row r="76" spans="1:14" ht="30">
      <c r="A76" s="8"/>
      <c r="B76" s="18">
        <v>250000</v>
      </c>
      <c r="C76" s="15" t="s">
        <v>24</v>
      </c>
      <c r="D76" s="19">
        <f>D77</f>
        <v>473206.22</v>
      </c>
      <c r="E76" s="12"/>
      <c r="F76" s="12"/>
      <c r="G76" s="19">
        <f>G77</f>
        <v>74136</v>
      </c>
      <c r="H76" s="11"/>
      <c r="I76" s="11"/>
      <c r="J76" s="11"/>
      <c r="K76" s="19">
        <f>K77</f>
        <v>74136</v>
      </c>
      <c r="L76" s="19">
        <f>L77</f>
        <v>74136</v>
      </c>
      <c r="M76" s="11"/>
      <c r="N76" s="16">
        <f t="shared" si="20"/>
        <v>547342.22</v>
      </c>
    </row>
    <row r="77" spans="1:14" ht="42.75">
      <c r="A77" s="8"/>
      <c r="B77" s="43">
        <v>250403</v>
      </c>
      <c r="C77" s="6" t="s">
        <v>180</v>
      </c>
      <c r="D77" s="12">
        <f>263958+209248.22</f>
        <v>473206.22</v>
      </c>
      <c r="E77" s="12"/>
      <c r="F77" s="12"/>
      <c r="G77" s="11">
        <f>H77+K77</f>
        <v>74136</v>
      </c>
      <c r="H77" s="11"/>
      <c r="I77" s="11"/>
      <c r="J77" s="11"/>
      <c r="K77" s="11">
        <f>39240+34896</f>
        <v>74136</v>
      </c>
      <c r="L77" s="11">
        <f>39240+34896</f>
        <v>74136</v>
      </c>
      <c r="M77" s="11"/>
      <c r="N77" s="11">
        <f t="shared" si="20"/>
        <v>547342.22</v>
      </c>
    </row>
    <row r="78" spans="1:14" ht="45">
      <c r="A78" s="8"/>
      <c r="B78" s="20">
        <v>15</v>
      </c>
      <c r="C78" s="15" t="s">
        <v>183</v>
      </c>
      <c r="D78" s="16">
        <f>D79+D81+D113+D117</f>
        <v>64382755.51</v>
      </c>
      <c r="E78" s="16">
        <f aca="true" t="shared" si="26" ref="E78:M78">E79+E81+E113+E117</f>
        <v>1621508</v>
      </c>
      <c r="F78" s="16">
        <f t="shared" si="26"/>
        <v>50230</v>
      </c>
      <c r="G78" s="16">
        <f t="shared" si="26"/>
        <v>512470</v>
      </c>
      <c r="H78" s="16">
        <f t="shared" si="26"/>
        <v>32000</v>
      </c>
      <c r="I78" s="16">
        <f t="shared" si="26"/>
        <v>9000</v>
      </c>
      <c r="J78" s="16">
        <f t="shared" si="26"/>
        <v>0</v>
      </c>
      <c r="K78" s="16">
        <f t="shared" si="26"/>
        <v>480470</v>
      </c>
      <c r="L78" s="16">
        <f t="shared" si="26"/>
        <v>480470</v>
      </c>
      <c r="M78" s="16">
        <f t="shared" si="26"/>
        <v>50000</v>
      </c>
      <c r="N78" s="16">
        <f>N79+N81+N113</f>
        <v>64830937.64</v>
      </c>
    </row>
    <row r="79" spans="1:14" ht="15">
      <c r="A79" s="8"/>
      <c r="B79" s="18">
        <v>70000</v>
      </c>
      <c r="C79" s="15" t="s">
        <v>27</v>
      </c>
      <c r="D79" s="16">
        <f>D80</f>
        <v>396530</v>
      </c>
      <c r="E79" s="16"/>
      <c r="F79" s="16"/>
      <c r="G79" s="19">
        <f aca="true" t="shared" si="27" ref="G79:G127">H79+K79</f>
        <v>0</v>
      </c>
      <c r="H79" s="16"/>
      <c r="I79" s="16"/>
      <c r="J79" s="16"/>
      <c r="K79" s="16"/>
      <c r="L79" s="16"/>
      <c r="M79" s="16"/>
      <c r="N79" s="16">
        <f t="shared" si="20"/>
        <v>396530</v>
      </c>
    </row>
    <row r="80" spans="1:14" ht="28.5">
      <c r="A80" s="8" t="s">
        <v>129</v>
      </c>
      <c r="B80" s="9">
        <v>70303</v>
      </c>
      <c r="C80" s="6" t="s">
        <v>65</v>
      </c>
      <c r="D80" s="27">
        <f>345131+72588-21189</f>
        <v>396530</v>
      </c>
      <c r="E80" s="11"/>
      <c r="F80" s="11"/>
      <c r="G80" s="12">
        <f>H80+K80</f>
        <v>0</v>
      </c>
      <c r="H80" s="11"/>
      <c r="I80" s="11"/>
      <c r="J80" s="11"/>
      <c r="K80" s="11"/>
      <c r="L80" s="11"/>
      <c r="M80" s="11"/>
      <c r="N80" s="11">
        <f t="shared" si="20"/>
        <v>396530</v>
      </c>
    </row>
    <row r="81" spans="1:14" ht="30">
      <c r="A81" s="8"/>
      <c r="B81" s="18">
        <v>90000</v>
      </c>
      <c r="C81" s="15" t="s">
        <v>11</v>
      </c>
      <c r="D81" s="16">
        <f>SUM(D82:D112)</f>
        <v>62290797.64</v>
      </c>
      <c r="E81" s="16">
        <f>SUM(E82:E112)</f>
        <v>1621508</v>
      </c>
      <c r="F81" s="16">
        <f>SUM(F82:F112)</f>
        <v>50230</v>
      </c>
      <c r="G81" s="19">
        <f t="shared" si="27"/>
        <v>512470</v>
      </c>
      <c r="H81" s="16">
        <f aca="true" t="shared" si="28" ref="H81:M81">SUM(H82:H112)</f>
        <v>32000</v>
      </c>
      <c r="I81" s="16">
        <f t="shared" si="28"/>
        <v>9000</v>
      </c>
      <c r="J81" s="16">
        <f t="shared" si="28"/>
        <v>0</v>
      </c>
      <c r="K81" s="16">
        <f t="shared" si="28"/>
        <v>480470</v>
      </c>
      <c r="L81" s="16">
        <f t="shared" si="28"/>
        <v>480470</v>
      </c>
      <c r="M81" s="16">
        <f t="shared" si="28"/>
        <v>50000</v>
      </c>
      <c r="N81" s="16">
        <f t="shared" si="20"/>
        <v>62803267.64</v>
      </c>
    </row>
    <row r="82" spans="1:14" ht="180.75" customHeight="1">
      <c r="A82" s="8" t="s">
        <v>130</v>
      </c>
      <c r="B82" s="9">
        <v>90201</v>
      </c>
      <c r="C82" s="6" t="s">
        <v>89</v>
      </c>
      <c r="D82" s="27">
        <f>4000000+965900</f>
        <v>4965900</v>
      </c>
      <c r="E82" s="11"/>
      <c r="F82" s="11"/>
      <c r="G82" s="11">
        <f t="shared" si="27"/>
        <v>0</v>
      </c>
      <c r="H82" s="11"/>
      <c r="I82" s="11"/>
      <c r="J82" s="11"/>
      <c r="K82" s="11"/>
      <c r="L82" s="11"/>
      <c r="M82" s="11"/>
      <c r="N82" s="11">
        <f t="shared" si="20"/>
        <v>4965900</v>
      </c>
    </row>
    <row r="83" spans="1:14" ht="112.5" customHeight="1">
      <c r="A83" s="8" t="s">
        <v>131</v>
      </c>
      <c r="B83" s="9">
        <v>90202</v>
      </c>
      <c r="C83" s="6" t="s">
        <v>90</v>
      </c>
      <c r="D83" s="27">
        <f>3000</f>
        <v>3000</v>
      </c>
      <c r="E83" s="11"/>
      <c r="F83" s="11"/>
      <c r="G83" s="11">
        <f t="shared" si="27"/>
        <v>0</v>
      </c>
      <c r="H83" s="11"/>
      <c r="I83" s="11"/>
      <c r="J83" s="11"/>
      <c r="K83" s="11"/>
      <c r="L83" s="11"/>
      <c r="M83" s="11"/>
      <c r="N83" s="11">
        <f t="shared" si="20"/>
        <v>3000</v>
      </c>
    </row>
    <row r="84" spans="1:14" ht="111" customHeight="1">
      <c r="A84" s="8" t="s">
        <v>132</v>
      </c>
      <c r="B84" s="9">
        <v>90203</v>
      </c>
      <c r="C84" s="6" t="s">
        <v>91</v>
      </c>
      <c r="D84" s="27">
        <f>89450</f>
        <v>89450</v>
      </c>
      <c r="E84" s="11"/>
      <c r="F84" s="11"/>
      <c r="G84" s="11">
        <f t="shared" si="27"/>
        <v>50000</v>
      </c>
      <c r="H84" s="11"/>
      <c r="I84" s="11"/>
      <c r="J84" s="11"/>
      <c r="K84" s="11">
        <f>50000</f>
        <v>50000</v>
      </c>
      <c r="L84" s="11">
        <f>50000</f>
        <v>50000</v>
      </c>
      <c r="M84" s="11">
        <f>50000</f>
        <v>50000</v>
      </c>
      <c r="N84" s="11">
        <f t="shared" si="20"/>
        <v>139450</v>
      </c>
    </row>
    <row r="85" spans="1:14" ht="87.75" customHeight="1">
      <c r="A85" s="8" t="s">
        <v>133</v>
      </c>
      <c r="B85" s="9">
        <v>90204</v>
      </c>
      <c r="C85" s="6" t="s">
        <v>92</v>
      </c>
      <c r="D85" s="27">
        <f>1617000+509000</f>
        <v>2126000</v>
      </c>
      <c r="E85" s="11"/>
      <c r="F85" s="11"/>
      <c r="G85" s="11">
        <f t="shared" si="27"/>
        <v>0</v>
      </c>
      <c r="H85" s="11"/>
      <c r="I85" s="11"/>
      <c r="J85" s="11"/>
      <c r="K85" s="11"/>
      <c r="L85" s="11"/>
      <c r="M85" s="11"/>
      <c r="N85" s="11">
        <f t="shared" si="20"/>
        <v>2126000</v>
      </c>
    </row>
    <row r="86" spans="1:14" ht="86.25" customHeight="1">
      <c r="A86" s="8" t="s">
        <v>134</v>
      </c>
      <c r="B86" s="9">
        <v>90207</v>
      </c>
      <c r="C86" s="6" t="s">
        <v>66</v>
      </c>
      <c r="D86" s="27">
        <f>137000+158500</f>
        <v>295500</v>
      </c>
      <c r="E86" s="11"/>
      <c r="F86" s="11"/>
      <c r="G86" s="11">
        <f t="shared" si="27"/>
        <v>0</v>
      </c>
      <c r="H86" s="11"/>
      <c r="I86" s="11"/>
      <c r="J86" s="11"/>
      <c r="K86" s="11"/>
      <c r="L86" s="11"/>
      <c r="M86" s="11"/>
      <c r="N86" s="11">
        <f t="shared" si="20"/>
        <v>295500</v>
      </c>
    </row>
    <row r="87" spans="1:14" ht="60" customHeight="1">
      <c r="A87" s="8" t="s">
        <v>135</v>
      </c>
      <c r="B87" s="9">
        <v>90209</v>
      </c>
      <c r="C87" s="6" t="s">
        <v>67</v>
      </c>
      <c r="D87" s="27">
        <f>500</f>
        <v>500</v>
      </c>
      <c r="E87" s="11"/>
      <c r="F87" s="11"/>
      <c r="G87" s="11">
        <f t="shared" si="27"/>
        <v>0</v>
      </c>
      <c r="H87" s="11"/>
      <c r="I87" s="11"/>
      <c r="J87" s="11"/>
      <c r="K87" s="11"/>
      <c r="L87" s="11"/>
      <c r="M87" s="11"/>
      <c r="N87" s="11">
        <f t="shared" si="20"/>
        <v>500</v>
      </c>
    </row>
    <row r="88" spans="1:14" ht="57">
      <c r="A88" s="8" t="s">
        <v>136</v>
      </c>
      <c r="B88" s="9">
        <v>90212</v>
      </c>
      <c r="C88" s="6" t="s">
        <v>68</v>
      </c>
      <c r="D88" s="27">
        <f>13094</f>
        <v>13094</v>
      </c>
      <c r="E88" s="11"/>
      <c r="F88" s="11"/>
      <c r="G88" s="11">
        <f t="shared" si="27"/>
        <v>0</v>
      </c>
      <c r="H88" s="11"/>
      <c r="I88" s="11"/>
      <c r="J88" s="11"/>
      <c r="K88" s="11"/>
      <c r="L88" s="11"/>
      <c r="M88" s="11"/>
      <c r="N88" s="11">
        <f t="shared" si="20"/>
        <v>13094</v>
      </c>
    </row>
    <row r="89" spans="1:15" ht="28.5">
      <c r="A89" s="8" t="s">
        <v>137</v>
      </c>
      <c r="B89" s="9">
        <v>90214</v>
      </c>
      <c r="C89" s="6" t="s">
        <v>82</v>
      </c>
      <c r="D89" s="27">
        <f>410000</f>
        <v>410000</v>
      </c>
      <c r="E89" s="11"/>
      <c r="F89" s="11"/>
      <c r="G89" s="11">
        <f t="shared" si="27"/>
        <v>0</v>
      </c>
      <c r="H89" s="11"/>
      <c r="I89" s="11"/>
      <c r="J89" s="11"/>
      <c r="K89" s="11"/>
      <c r="L89" s="11"/>
      <c r="M89" s="11"/>
      <c r="N89" s="11">
        <f t="shared" si="20"/>
        <v>410000</v>
      </c>
      <c r="O89" s="2"/>
    </row>
    <row r="90" spans="1:14" ht="28.5">
      <c r="A90" s="8" t="s">
        <v>138</v>
      </c>
      <c r="B90" s="9">
        <v>90215</v>
      </c>
      <c r="C90" s="6" t="s">
        <v>69</v>
      </c>
      <c r="D90" s="27">
        <f>395600+240000</f>
        <v>635600</v>
      </c>
      <c r="E90" s="11"/>
      <c r="F90" s="11"/>
      <c r="G90" s="11">
        <f t="shared" si="27"/>
        <v>0</v>
      </c>
      <c r="H90" s="11"/>
      <c r="I90" s="11"/>
      <c r="J90" s="11"/>
      <c r="K90" s="11"/>
      <c r="L90" s="11"/>
      <c r="M90" s="11"/>
      <c r="N90" s="11">
        <f t="shared" si="20"/>
        <v>635600</v>
      </c>
    </row>
    <row r="91" spans="1:14" ht="42.75">
      <c r="A91" s="8" t="s">
        <v>139</v>
      </c>
      <c r="B91" s="9">
        <v>90216</v>
      </c>
      <c r="C91" s="6" t="s">
        <v>93</v>
      </c>
      <c r="D91" s="27">
        <f>700</f>
        <v>700</v>
      </c>
      <c r="E91" s="11"/>
      <c r="F91" s="11"/>
      <c r="G91" s="11">
        <f t="shared" si="27"/>
        <v>0</v>
      </c>
      <c r="H91" s="11"/>
      <c r="I91" s="11"/>
      <c r="J91" s="11"/>
      <c r="K91" s="11"/>
      <c r="L91" s="11"/>
      <c r="M91" s="11"/>
      <c r="N91" s="11">
        <f t="shared" si="20"/>
        <v>700</v>
      </c>
    </row>
    <row r="92" spans="1:14" ht="28.5">
      <c r="A92" s="8" t="s">
        <v>140</v>
      </c>
      <c r="B92" s="9">
        <v>90302</v>
      </c>
      <c r="C92" s="6" t="s">
        <v>70</v>
      </c>
      <c r="D92" s="27">
        <f>510000-60000</f>
        <v>450000</v>
      </c>
      <c r="E92" s="11"/>
      <c r="F92" s="11"/>
      <c r="G92" s="11">
        <f t="shared" si="27"/>
        <v>0</v>
      </c>
      <c r="H92" s="11"/>
      <c r="I92" s="11"/>
      <c r="J92" s="11"/>
      <c r="K92" s="11"/>
      <c r="L92" s="11"/>
      <c r="M92" s="11"/>
      <c r="N92" s="11">
        <f t="shared" si="20"/>
        <v>450000</v>
      </c>
    </row>
    <row r="93" spans="1:14" ht="28.5">
      <c r="A93" s="8" t="s">
        <v>141</v>
      </c>
      <c r="B93" s="9">
        <v>90303</v>
      </c>
      <c r="C93" s="6" t="s">
        <v>71</v>
      </c>
      <c r="D93" s="27">
        <f>5515000-300000</f>
        <v>5215000</v>
      </c>
      <c r="E93" s="11"/>
      <c r="F93" s="11"/>
      <c r="G93" s="11">
        <f t="shared" si="27"/>
        <v>0</v>
      </c>
      <c r="H93" s="11"/>
      <c r="I93" s="11"/>
      <c r="J93" s="11"/>
      <c r="K93" s="11"/>
      <c r="L93" s="11"/>
      <c r="M93" s="11"/>
      <c r="N93" s="11">
        <f t="shared" si="20"/>
        <v>5215000</v>
      </c>
    </row>
    <row r="94" spans="1:14" ht="15">
      <c r="A94" s="8" t="s">
        <v>142</v>
      </c>
      <c r="B94" s="9">
        <v>90304</v>
      </c>
      <c r="C94" s="6" t="s">
        <v>94</v>
      </c>
      <c r="D94" s="27">
        <f>21400000-3240000</f>
        <v>18160000</v>
      </c>
      <c r="E94" s="11"/>
      <c r="F94" s="11"/>
      <c r="G94" s="11">
        <f t="shared" si="27"/>
        <v>0</v>
      </c>
      <c r="H94" s="11"/>
      <c r="I94" s="11"/>
      <c r="J94" s="11"/>
      <c r="K94" s="11"/>
      <c r="L94" s="11"/>
      <c r="M94" s="11"/>
      <c r="N94" s="11">
        <f t="shared" si="20"/>
        <v>18160000</v>
      </c>
    </row>
    <row r="95" spans="1:14" ht="28.5">
      <c r="A95" s="8" t="s">
        <v>143</v>
      </c>
      <c r="B95" s="9">
        <v>90305</v>
      </c>
      <c r="C95" s="6" t="s">
        <v>72</v>
      </c>
      <c r="D95" s="27">
        <f>1876000-60000</f>
        <v>1816000</v>
      </c>
      <c r="E95" s="11"/>
      <c r="F95" s="11"/>
      <c r="G95" s="11">
        <f t="shared" si="27"/>
        <v>0</v>
      </c>
      <c r="H95" s="11"/>
      <c r="I95" s="11"/>
      <c r="J95" s="11"/>
      <c r="K95" s="11"/>
      <c r="L95" s="11"/>
      <c r="M95" s="11"/>
      <c r="N95" s="11">
        <f t="shared" si="20"/>
        <v>1816000</v>
      </c>
    </row>
    <row r="96" spans="1:14" ht="28.5">
      <c r="A96" s="8" t="s">
        <v>144</v>
      </c>
      <c r="B96" s="9">
        <v>90306</v>
      </c>
      <c r="C96" s="6" t="s">
        <v>73</v>
      </c>
      <c r="D96" s="27">
        <f>3160000-180000</f>
        <v>2980000</v>
      </c>
      <c r="E96" s="11"/>
      <c r="F96" s="11"/>
      <c r="G96" s="11">
        <f t="shared" si="27"/>
        <v>0</v>
      </c>
      <c r="H96" s="11"/>
      <c r="I96" s="11"/>
      <c r="J96" s="11"/>
      <c r="K96" s="11"/>
      <c r="L96" s="11"/>
      <c r="M96" s="11"/>
      <c r="N96" s="11">
        <f t="shared" si="20"/>
        <v>2980000</v>
      </c>
    </row>
    <row r="97" spans="1:14" ht="21.75" customHeight="1">
      <c r="A97" s="8" t="s">
        <v>145</v>
      </c>
      <c r="B97" s="9">
        <v>90307</v>
      </c>
      <c r="C97" s="6" t="s">
        <v>74</v>
      </c>
      <c r="D97" s="27">
        <f>711000-67514</f>
        <v>643486</v>
      </c>
      <c r="E97" s="11"/>
      <c r="F97" s="11"/>
      <c r="G97" s="11">
        <f t="shared" si="27"/>
        <v>0</v>
      </c>
      <c r="H97" s="11"/>
      <c r="I97" s="11"/>
      <c r="J97" s="11"/>
      <c r="K97" s="11"/>
      <c r="L97" s="11"/>
      <c r="M97" s="11"/>
      <c r="N97" s="11">
        <f t="shared" si="20"/>
        <v>643486</v>
      </c>
    </row>
    <row r="98" spans="1:14" ht="15">
      <c r="A98" s="8" t="s">
        <v>146</v>
      </c>
      <c r="B98" s="9">
        <v>90308</v>
      </c>
      <c r="C98" s="6" t="s">
        <v>99</v>
      </c>
      <c r="D98" s="27">
        <f>9720</f>
        <v>9720</v>
      </c>
      <c r="E98" s="11"/>
      <c r="F98" s="11"/>
      <c r="G98" s="11">
        <f t="shared" si="27"/>
        <v>0</v>
      </c>
      <c r="H98" s="11"/>
      <c r="I98" s="11"/>
      <c r="J98" s="11"/>
      <c r="K98" s="11"/>
      <c r="L98" s="11"/>
      <c r="M98" s="11"/>
      <c r="N98" s="11">
        <f t="shared" si="20"/>
        <v>9720</v>
      </c>
    </row>
    <row r="99" spans="1:14" ht="28.5">
      <c r="A99" s="8" t="s">
        <v>147</v>
      </c>
      <c r="B99" s="9">
        <v>90401</v>
      </c>
      <c r="C99" s="6" t="s">
        <v>75</v>
      </c>
      <c r="D99" s="27">
        <f>4159313</f>
        <v>4159313</v>
      </c>
      <c r="E99" s="11"/>
      <c r="F99" s="11"/>
      <c r="G99" s="11">
        <f t="shared" si="27"/>
        <v>0</v>
      </c>
      <c r="H99" s="11"/>
      <c r="I99" s="11"/>
      <c r="J99" s="11"/>
      <c r="K99" s="11"/>
      <c r="L99" s="11"/>
      <c r="M99" s="11"/>
      <c r="N99" s="11">
        <f t="shared" si="20"/>
        <v>4159313</v>
      </c>
    </row>
    <row r="100" spans="1:14" ht="42.75">
      <c r="A100" s="8" t="s">
        <v>148</v>
      </c>
      <c r="B100" s="9">
        <v>90405</v>
      </c>
      <c r="C100" s="6" t="s">
        <v>76</v>
      </c>
      <c r="D100" s="27">
        <f>8500000+1880000</f>
        <v>10380000</v>
      </c>
      <c r="E100" s="11"/>
      <c r="F100" s="11"/>
      <c r="G100" s="11">
        <f t="shared" si="27"/>
        <v>0</v>
      </c>
      <c r="H100" s="11"/>
      <c r="I100" s="11"/>
      <c r="J100" s="11"/>
      <c r="K100" s="11"/>
      <c r="L100" s="11"/>
      <c r="M100" s="11"/>
      <c r="N100" s="11">
        <f t="shared" si="20"/>
        <v>10380000</v>
      </c>
    </row>
    <row r="101" spans="1:14" ht="59.25" customHeight="1">
      <c r="A101" s="8" t="s">
        <v>149</v>
      </c>
      <c r="B101" s="9">
        <v>90406</v>
      </c>
      <c r="C101" s="6" t="s">
        <v>77</v>
      </c>
      <c r="D101" s="27">
        <f>15500</f>
        <v>15500</v>
      </c>
      <c r="E101" s="11"/>
      <c r="F101" s="11"/>
      <c r="G101" s="11">
        <f t="shared" si="27"/>
        <v>0</v>
      </c>
      <c r="H101" s="11"/>
      <c r="I101" s="11"/>
      <c r="J101" s="11"/>
      <c r="K101" s="11"/>
      <c r="L101" s="11"/>
      <c r="M101" s="11"/>
      <c r="N101" s="11">
        <f t="shared" si="20"/>
        <v>15500</v>
      </c>
    </row>
    <row r="102" spans="1:14" ht="28.5">
      <c r="A102" s="8" t="s">
        <v>150</v>
      </c>
      <c r="B102" s="9">
        <v>90412</v>
      </c>
      <c r="C102" s="6" t="s">
        <v>35</v>
      </c>
      <c r="D102" s="27">
        <f>239700-14586.28</f>
        <v>225113.72</v>
      </c>
      <c r="E102" s="11"/>
      <c r="F102" s="11"/>
      <c r="G102" s="11">
        <f t="shared" si="27"/>
        <v>140000</v>
      </c>
      <c r="H102" s="11"/>
      <c r="I102" s="11"/>
      <c r="J102" s="11"/>
      <c r="K102" s="27">
        <f>140000</f>
        <v>140000</v>
      </c>
      <c r="L102" s="27">
        <f>140000</f>
        <v>140000</v>
      </c>
      <c r="M102" s="11"/>
      <c r="N102" s="11">
        <f t="shared" si="20"/>
        <v>365113.72</v>
      </c>
    </row>
    <row r="103" spans="1:14" ht="30.75" customHeight="1">
      <c r="A103" s="8" t="s">
        <v>151</v>
      </c>
      <c r="B103" s="9">
        <v>90413</v>
      </c>
      <c r="C103" s="6" t="s">
        <v>78</v>
      </c>
      <c r="D103" s="27">
        <f>1482994-28125</f>
        <v>1454869</v>
      </c>
      <c r="E103" s="11"/>
      <c r="F103" s="11"/>
      <c r="G103" s="11">
        <f t="shared" si="27"/>
        <v>0</v>
      </c>
      <c r="H103" s="11"/>
      <c r="I103" s="11"/>
      <c r="J103" s="11"/>
      <c r="K103" s="11"/>
      <c r="L103" s="11"/>
      <c r="M103" s="11"/>
      <c r="N103" s="11">
        <f t="shared" si="20"/>
        <v>1454869</v>
      </c>
    </row>
    <row r="104" spans="1:14" ht="99.75">
      <c r="A104" s="8" t="s">
        <v>152</v>
      </c>
      <c r="B104" s="9">
        <v>90414</v>
      </c>
      <c r="C104" s="6" t="s">
        <v>100</v>
      </c>
      <c r="D104" s="27">
        <f>3000</f>
        <v>3000</v>
      </c>
      <c r="E104" s="11"/>
      <c r="F104" s="11"/>
      <c r="G104" s="11">
        <f>H104+K104</f>
        <v>0</v>
      </c>
      <c r="H104" s="11"/>
      <c r="I104" s="11"/>
      <c r="J104" s="11"/>
      <c r="K104" s="11"/>
      <c r="L104" s="11"/>
      <c r="M104" s="11"/>
      <c r="N104" s="11">
        <f>D104+G104</f>
        <v>3000</v>
      </c>
    </row>
    <row r="105" spans="1:14" ht="28.5">
      <c r="A105" s="8" t="s">
        <v>153</v>
      </c>
      <c r="B105" s="9">
        <v>90417</v>
      </c>
      <c r="C105" s="6" t="s">
        <v>95</v>
      </c>
      <c r="D105" s="27">
        <f>42517</f>
        <v>42517</v>
      </c>
      <c r="E105" s="11"/>
      <c r="F105" s="11"/>
      <c r="G105" s="11">
        <f t="shared" si="27"/>
        <v>0</v>
      </c>
      <c r="H105" s="11"/>
      <c r="I105" s="11"/>
      <c r="J105" s="11"/>
      <c r="K105" s="11"/>
      <c r="L105" s="11"/>
      <c r="M105" s="11"/>
      <c r="N105" s="11">
        <f t="shared" si="20"/>
        <v>42517</v>
      </c>
    </row>
    <row r="106" spans="1:14" ht="28.5">
      <c r="A106" s="8"/>
      <c r="B106" s="9">
        <v>91103</v>
      </c>
      <c r="C106" s="6" t="s">
        <v>13</v>
      </c>
      <c r="D106" s="27">
        <f>55406-10406-30000</f>
        <v>15000</v>
      </c>
      <c r="E106" s="11"/>
      <c r="F106" s="11"/>
      <c r="G106" s="11"/>
      <c r="H106" s="11"/>
      <c r="I106" s="11"/>
      <c r="J106" s="11"/>
      <c r="K106" s="11"/>
      <c r="L106" s="11"/>
      <c r="M106" s="11"/>
      <c r="N106" s="11">
        <f t="shared" si="20"/>
        <v>15000</v>
      </c>
    </row>
    <row r="107" spans="1:14" ht="42.75">
      <c r="A107" s="8" t="s">
        <v>154</v>
      </c>
      <c r="B107" s="9">
        <v>91204</v>
      </c>
      <c r="C107" s="6" t="s">
        <v>96</v>
      </c>
      <c r="D107" s="12">
        <f>1863635-119185</f>
        <v>1744450</v>
      </c>
      <c r="E107" s="12">
        <f>1279700-50760</f>
        <v>1228940</v>
      </c>
      <c r="F107" s="12">
        <f>20281</f>
        <v>20281</v>
      </c>
      <c r="G107" s="11">
        <f t="shared" si="27"/>
        <v>322470</v>
      </c>
      <c r="H107" s="11">
        <f>32000</f>
        <v>32000</v>
      </c>
      <c r="I107" s="11">
        <f>9000</f>
        <v>9000</v>
      </c>
      <c r="J107" s="11"/>
      <c r="K107" s="11">
        <f>258070+32400</f>
        <v>290470</v>
      </c>
      <c r="L107" s="11">
        <f>258070+32400</f>
        <v>290470</v>
      </c>
      <c r="M107" s="11"/>
      <c r="N107" s="11">
        <f t="shared" si="20"/>
        <v>2066920</v>
      </c>
    </row>
    <row r="108" spans="1:14" ht="99.75">
      <c r="A108" s="8"/>
      <c r="B108" s="9">
        <v>91205</v>
      </c>
      <c r="C108" s="6" t="s">
        <v>165</v>
      </c>
      <c r="D108" s="12">
        <f>53756-5232.08</f>
        <v>48523.92</v>
      </c>
      <c r="E108" s="12"/>
      <c r="F108" s="12"/>
      <c r="G108" s="21">
        <f t="shared" si="27"/>
        <v>0</v>
      </c>
      <c r="H108" s="12"/>
      <c r="I108" s="12"/>
      <c r="J108" s="12"/>
      <c r="K108" s="12"/>
      <c r="L108" s="21"/>
      <c r="M108" s="21"/>
      <c r="N108" s="12">
        <f t="shared" si="20"/>
        <v>48523.92</v>
      </c>
    </row>
    <row r="109" spans="1:14" ht="28.5">
      <c r="A109" s="8" t="s">
        <v>155</v>
      </c>
      <c r="B109" s="9">
        <v>91206</v>
      </c>
      <c r="C109" s="6" t="s">
        <v>97</v>
      </c>
      <c r="D109" s="12">
        <f>647295-1200</f>
        <v>646095</v>
      </c>
      <c r="E109" s="12">
        <f>392568</f>
        <v>392568</v>
      </c>
      <c r="F109" s="12">
        <f>29949</f>
        <v>29949</v>
      </c>
      <c r="G109" s="11">
        <f t="shared" si="27"/>
        <v>0</v>
      </c>
      <c r="H109" s="11"/>
      <c r="I109" s="11"/>
      <c r="J109" s="11"/>
      <c r="K109" s="11"/>
      <c r="L109" s="11"/>
      <c r="M109" s="11"/>
      <c r="N109" s="11">
        <f t="shared" si="20"/>
        <v>646095</v>
      </c>
    </row>
    <row r="110" spans="1:14" ht="42.75">
      <c r="A110" s="8" t="s">
        <v>156</v>
      </c>
      <c r="B110" s="9">
        <v>91300</v>
      </c>
      <c r="C110" s="6" t="s">
        <v>79</v>
      </c>
      <c r="D110" s="12">
        <f>5717407</f>
        <v>5717407</v>
      </c>
      <c r="E110" s="27"/>
      <c r="F110" s="11"/>
      <c r="G110" s="11">
        <f t="shared" si="27"/>
        <v>0</v>
      </c>
      <c r="H110" s="11"/>
      <c r="I110" s="11"/>
      <c r="J110" s="11"/>
      <c r="K110" s="11"/>
      <c r="L110" s="11"/>
      <c r="M110" s="11"/>
      <c r="N110" s="11">
        <f t="shared" si="20"/>
        <v>5717407</v>
      </c>
    </row>
    <row r="111" spans="1:14" ht="57">
      <c r="A111" s="8" t="s">
        <v>157</v>
      </c>
      <c r="B111" s="9">
        <v>91303</v>
      </c>
      <c r="C111" s="6" t="s">
        <v>80</v>
      </c>
      <c r="D111" s="27">
        <f>21447</f>
        <v>21447</v>
      </c>
      <c r="E111" s="27"/>
      <c r="F111" s="11"/>
      <c r="G111" s="11">
        <f t="shared" si="27"/>
        <v>0</v>
      </c>
      <c r="H111" s="11"/>
      <c r="I111" s="11"/>
      <c r="J111" s="11"/>
      <c r="K111" s="11"/>
      <c r="L111" s="11"/>
      <c r="M111" s="11"/>
      <c r="N111" s="11">
        <f t="shared" si="20"/>
        <v>21447</v>
      </c>
    </row>
    <row r="112" spans="1:14" ht="28.5">
      <c r="A112" s="8" t="s">
        <v>158</v>
      </c>
      <c r="B112" s="9">
        <v>91304</v>
      </c>
      <c r="C112" s="6" t="s">
        <v>81</v>
      </c>
      <c r="D112" s="27">
        <f>3612</f>
        <v>3612</v>
      </c>
      <c r="E112" s="27"/>
      <c r="F112" s="11"/>
      <c r="G112" s="11">
        <f t="shared" si="27"/>
        <v>0</v>
      </c>
      <c r="H112" s="11"/>
      <c r="I112" s="11"/>
      <c r="J112" s="11"/>
      <c r="K112" s="11"/>
      <c r="L112" s="11"/>
      <c r="M112" s="11"/>
      <c r="N112" s="11">
        <f t="shared" si="20"/>
        <v>3612</v>
      </c>
    </row>
    <row r="113" spans="1:14" ht="45">
      <c r="A113" s="8"/>
      <c r="B113" s="18">
        <v>170000</v>
      </c>
      <c r="C113" s="15" t="s">
        <v>20</v>
      </c>
      <c r="D113" s="16">
        <f>SUM(D114:D116)</f>
        <v>1631140</v>
      </c>
      <c r="E113" s="16">
        <f>SUM(E114:E116)</f>
        <v>0</v>
      </c>
      <c r="F113" s="16">
        <f>SUM(F114:F116)</f>
        <v>0</v>
      </c>
      <c r="G113" s="16">
        <f t="shared" si="27"/>
        <v>0</v>
      </c>
      <c r="H113" s="16">
        <f aca="true" t="shared" si="29" ref="H113:M113">SUM(H114:H116)</f>
        <v>0</v>
      </c>
      <c r="I113" s="16">
        <f t="shared" si="29"/>
        <v>0</v>
      </c>
      <c r="J113" s="16">
        <f t="shared" si="29"/>
        <v>0</v>
      </c>
      <c r="K113" s="16">
        <f t="shared" si="29"/>
        <v>0</v>
      </c>
      <c r="L113" s="16">
        <f t="shared" si="29"/>
        <v>0</v>
      </c>
      <c r="M113" s="16">
        <f t="shared" si="29"/>
        <v>0</v>
      </c>
      <c r="N113" s="16">
        <f aca="true" t="shared" si="30" ref="N113:N124">D113+G113</f>
        <v>1631140</v>
      </c>
    </row>
    <row r="114" spans="1:14" ht="42.75">
      <c r="A114" s="8" t="s">
        <v>159</v>
      </c>
      <c r="B114" s="9">
        <v>170102</v>
      </c>
      <c r="C114" s="6" t="s">
        <v>83</v>
      </c>
      <c r="D114" s="27">
        <f>1522812</f>
        <v>1522812</v>
      </c>
      <c r="E114" s="11"/>
      <c r="F114" s="11"/>
      <c r="G114" s="11">
        <f t="shared" si="27"/>
        <v>0</v>
      </c>
      <c r="H114" s="11"/>
      <c r="I114" s="11"/>
      <c r="J114" s="11"/>
      <c r="K114" s="11"/>
      <c r="L114" s="11"/>
      <c r="M114" s="11"/>
      <c r="N114" s="11">
        <f t="shared" si="30"/>
        <v>1522812</v>
      </c>
    </row>
    <row r="115" spans="1:14" ht="28.5">
      <c r="A115" s="8"/>
      <c r="B115" s="37">
        <v>170103</v>
      </c>
      <c r="C115" s="6" t="s">
        <v>184</v>
      </c>
      <c r="D115" s="27">
        <f>82348-34020</f>
        <v>48328</v>
      </c>
      <c r="E115" s="11"/>
      <c r="F115" s="11"/>
      <c r="G115" s="11"/>
      <c r="H115" s="11"/>
      <c r="I115" s="11"/>
      <c r="J115" s="11"/>
      <c r="K115" s="11"/>
      <c r="L115" s="11"/>
      <c r="M115" s="11"/>
      <c r="N115" s="11"/>
    </row>
    <row r="116" spans="1:14" ht="42.75">
      <c r="A116" s="8" t="s">
        <v>160</v>
      </c>
      <c r="B116" s="9">
        <v>170302</v>
      </c>
      <c r="C116" s="6" t="s">
        <v>62</v>
      </c>
      <c r="D116" s="27">
        <f>60000</f>
        <v>60000</v>
      </c>
      <c r="E116" s="11"/>
      <c r="F116" s="11"/>
      <c r="G116" s="11"/>
      <c r="H116" s="11"/>
      <c r="I116" s="11"/>
      <c r="J116" s="11"/>
      <c r="K116" s="11"/>
      <c r="L116" s="11"/>
      <c r="M116" s="11"/>
      <c r="N116" s="11">
        <f t="shared" si="30"/>
        <v>60000</v>
      </c>
    </row>
    <row r="117" spans="1:14" ht="30">
      <c r="A117" s="8"/>
      <c r="B117" s="18">
        <v>250000</v>
      </c>
      <c r="C117" s="15" t="s">
        <v>24</v>
      </c>
      <c r="D117" s="19">
        <f aca="true" t="shared" si="31" ref="D117:M117">D118</f>
        <v>64287.87</v>
      </c>
      <c r="E117" s="19">
        <f t="shared" si="31"/>
        <v>0</v>
      </c>
      <c r="F117" s="19">
        <f t="shared" si="31"/>
        <v>0</v>
      </c>
      <c r="G117" s="19">
        <f t="shared" si="31"/>
        <v>0</v>
      </c>
      <c r="H117" s="19">
        <f t="shared" si="31"/>
        <v>0</v>
      </c>
      <c r="I117" s="19">
        <f t="shared" si="31"/>
        <v>0</v>
      </c>
      <c r="J117" s="19">
        <f t="shared" si="31"/>
        <v>0</v>
      </c>
      <c r="K117" s="19">
        <f t="shared" si="31"/>
        <v>0</v>
      </c>
      <c r="L117" s="19">
        <f t="shared" si="31"/>
        <v>0</v>
      </c>
      <c r="M117" s="19">
        <f t="shared" si="31"/>
        <v>0</v>
      </c>
      <c r="N117" s="16">
        <f t="shared" si="30"/>
        <v>64287.87</v>
      </c>
    </row>
    <row r="118" spans="1:14" ht="42.75">
      <c r="A118" s="8"/>
      <c r="B118" s="43">
        <v>250403</v>
      </c>
      <c r="C118" s="6" t="s">
        <v>180</v>
      </c>
      <c r="D118" s="27">
        <f>14586.28+5232.08+34020+10406+43.51</f>
        <v>64287.87</v>
      </c>
      <c r="E118" s="12"/>
      <c r="F118" s="12"/>
      <c r="G118" s="11"/>
      <c r="H118" s="11"/>
      <c r="I118" s="11"/>
      <c r="J118" s="11"/>
      <c r="K118" s="11"/>
      <c r="L118" s="11"/>
      <c r="M118" s="11"/>
      <c r="N118" s="11">
        <f t="shared" si="30"/>
        <v>64287.87</v>
      </c>
    </row>
    <row r="119" spans="1:14" ht="60.75" customHeight="1">
      <c r="A119" s="8"/>
      <c r="B119" s="20">
        <v>24</v>
      </c>
      <c r="C119" s="15" t="s">
        <v>84</v>
      </c>
      <c r="D119" s="16">
        <f>D120+D128</f>
        <v>3707801</v>
      </c>
      <c r="E119" s="16">
        <f>E120+E128</f>
        <v>2630456</v>
      </c>
      <c r="F119" s="16">
        <f>F120+F128</f>
        <v>130141</v>
      </c>
      <c r="G119" s="16">
        <f>G120+G128</f>
        <v>573650</v>
      </c>
      <c r="H119" s="16">
        <f aca="true" t="shared" si="32" ref="H119:M119">H120+H128</f>
        <v>312650</v>
      </c>
      <c r="I119" s="16">
        <f t="shared" si="32"/>
        <v>142616</v>
      </c>
      <c r="J119" s="16">
        <f t="shared" si="32"/>
        <v>8010</v>
      </c>
      <c r="K119" s="16">
        <f t="shared" si="32"/>
        <v>261000</v>
      </c>
      <c r="L119" s="16">
        <f t="shared" si="32"/>
        <v>241000</v>
      </c>
      <c r="M119" s="16">
        <f t="shared" si="32"/>
        <v>0</v>
      </c>
      <c r="N119" s="16">
        <f t="shared" si="30"/>
        <v>4281451</v>
      </c>
    </row>
    <row r="120" spans="1:14" ht="15">
      <c r="A120" s="8"/>
      <c r="B120" s="18">
        <v>110000</v>
      </c>
      <c r="C120" s="15" t="s">
        <v>15</v>
      </c>
      <c r="D120" s="16">
        <f>SUM(D121:D125)</f>
        <v>3707551.74</v>
      </c>
      <c r="E120" s="16">
        <f>SUM(E121:E125)</f>
        <v>2630456</v>
      </c>
      <c r="F120" s="16">
        <f>SUM(F121:F125)</f>
        <v>130141</v>
      </c>
      <c r="G120" s="16">
        <f t="shared" si="27"/>
        <v>573650</v>
      </c>
      <c r="H120" s="16">
        <f aca="true" t="shared" si="33" ref="H120:M120">SUM(H121:H125)</f>
        <v>312650</v>
      </c>
      <c r="I120" s="16">
        <f t="shared" si="33"/>
        <v>142616</v>
      </c>
      <c r="J120" s="16">
        <f t="shared" si="33"/>
        <v>8010</v>
      </c>
      <c r="K120" s="16">
        <f t="shared" si="33"/>
        <v>261000</v>
      </c>
      <c r="L120" s="16">
        <f t="shared" si="33"/>
        <v>241000</v>
      </c>
      <c r="M120" s="16">
        <f t="shared" si="33"/>
        <v>0</v>
      </c>
      <c r="N120" s="16">
        <f t="shared" si="30"/>
        <v>4281201.74</v>
      </c>
    </row>
    <row r="121" spans="1:14" ht="15">
      <c r="A121" s="8" t="s">
        <v>106</v>
      </c>
      <c r="B121" s="9">
        <v>110201</v>
      </c>
      <c r="C121" s="6" t="s">
        <v>36</v>
      </c>
      <c r="D121" s="27">
        <f>287361-10900</f>
        <v>276461</v>
      </c>
      <c r="E121" s="27">
        <f>180960-8000</f>
        <v>172960</v>
      </c>
      <c r="F121" s="27">
        <f>24513</f>
        <v>24513</v>
      </c>
      <c r="G121" s="11">
        <f t="shared" si="27"/>
        <v>15000</v>
      </c>
      <c r="H121" s="27"/>
      <c r="I121" s="27"/>
      <c r="J121" s="27"/>
      <c r="K121" s="11">
        <f>115000-100000</f>
        <v>15000</v>
      </c>
      <c r="L121" s="11">
        <f>115000-100000</f>
        <v>15000</v>
      </c>
      <c r="M121" s="11"/>
      <c r="N121" s="11">
        <f t="shared" si="30"/>
        <v>291461</v>
      </c>
    </row>
    <row r="122" spans="1:14" ht="15">
      <c r="A122" s="8" t="s">
        <v>161</v>
      </c>
      <c r="B122" s="9">
        <v>110202</v>
      </c>
      <c r="C122" s="6" t="s">
        <v>37</v>
      </c>
      <c r="D122" s="27">
        <f>257504-39000</f>
        <v>218504</v>
      </c>
      <c r="E122" s="27">
        <f>187461-21000</f>
        <v>166461</v>
      </c>
      <c r="F122" s="27">
        <f>3750</f>
        <v>3750</v>
      </c>
      <c r="G122" s="11">
        <f t="shared" si="27"/>
        <v>212000</v>
      </c>
      <c r="H122" s="27">
        <f>11000</f>
        <v>11000</v>
      </c>
      <c r="I122" s="27"/>
      <c r="J122" s="27"/>
      <c r="K122" s="27">
        <f>4000+197000</f>
        <v>201000</v>
      </c>
      <c r="L122" s="27">
        <f>197000</f>
        <v>197000</v>
      </c>
      <c r="M122" s="11"/>
      <c r="N122" s="11">
        <f t="shared" si="30"/>
        <v>430504</v>
      </c>
    </row>
    <row r="123" spans="1:14" ht="28.5">
      <c r="A123" s="8" t="s">
        <v>107</v>
      </c>
      <c r="B123" s="9">
        <v>110204</v>
      </c>
      <c r="C123" s="6" t="s">
        <v>38</v>
      </c>
      <c r="D123" s="27">
        <f>364863-10900</f>
        <v>353963</v>
      </c>
      <c r="E123" s="27">
        <f>262241-8000</f>
        <v>254241</v>
      </c>
      <c r="F123" s="27">
        <f>7427</f>
        <v>7427</v>
      </c>
      <c r="G123" s="11">
        <f t="shared" si="27"/>
        <v>64650</v>
      </c>
      <c r="H123" s="27">
        <f>53650</f>
        <v>53650</v>
      </c>
      <c r="I123" s="27">
        <f>6933</f>
        <v>6933</v>
      </c>
      <c r="J123" s="27">
        <f>5300</f>
        <v>5300</v>
      </c>
      <c r="K123" s="27">
        <f>11000</f>
        <v>11000</v>
      </c>
      <c r="L123" s="11"/>
      <c r="M123" s="11"/>
      <c r="N123" s="11">
        <f t="shared" si="30"/>
        <v>418613</v>
      </c>
    </row>
    <row r="124" spans="1:14" ht="15">
      <c r="A124" s="8" t="s">
        <v>108</v>
      </c>
      <c r="B124" s="9">
        <v>110205</v>
      </c>
      <c r="C124" s="6" t="s">
        <v>39</v>
      </c>
      <c r="D124" s="27">
        <f>2199496-4770</f>
        <v>2194726</v>
      </c>
      <c r="E124" s="27">
        <f>1553643-3500</f>
        <v>1550143</v>
      </c>
      <c r="F124" s="27">
        <f>94451</f>
        <v>94451</v>
      </c>
      <c r="G124" s="11">
        <f t="shared" si="27"/>
        <v>243000</v>
      </c>
      <c r="H124" s="27">
        <f>243000</f>
        <v>243000</v>
      </c>
      <c r="I124" s="27">
        <f>135683</f>
        <v>135683</v>
      </c>
      <c r="J124" s="27">
        <f>2710</f>
        <v>2710</v>
      </c>
      <c r="K124" s="27"/>
      <c r="L124" s="11"/>
      <c r="M124" s="11"/>
      <c r="N124" s="11">
        <f t="shared" si="30"/>
        <v>2437726</v>
      </c>
    </row>
    <row r="125" spans="1:14" ht="28.5">
      <c r="A125" s="8"/>
      <c r="B125" s="9">
        <v>110502</v>
      </c>
      <c r="C125" s="6" t="s">
        <v>55</v>
      </c>
      <c r="D125" s="11">
        <f>SUM(D126:D127)</f>
        <v>663897.74</v>
      </c>
      <c r="E125" s="11">
        <f>SUM(E126:E127)</f>
        <v>486651</v>
      </c>
      <c r="F125" s="11">
        <f>SUM(F126:F127)</f>
        <v>0</v>
      </c>
      <c r="G125" s="11">
        <f t="shared" si="27"/>
        <v>39000</v>
      </c>
      <c r="H125" s="11">
        <f aca="true" t="shared" si="34" ref="H125:M125">SUM(H126:H127)</f>
        <v>5000</v>
      </c>
      <c r="I125" s="11">
        <f t="shared" si="34"/>
        <v>0</v>
      </c>
      <c r="J125" s="11">
        <f t="shared" si="34"/>
        <v>0</v>
      </c>
      <c r="K125" s="11">
        <f t="shared" si="34"/>
        <v>34000</v>
      </c>
      <c r="L125" s="11">
        <f t="shared" si="34"/>
        <v>29000</v>
      </c>
      <c r="M125" s="11">
        <f t="shared" si="34"/>
        <v>0</v>
      </c>
      <c r="N125" s="11">
        <f aca="true" t="shared" si="35" ref="N125:N135">D125+G125</f>
        <v>702897.74</v>
      </c>
    </row>
    <row r="126" spans="1:14" ht="15">
      <c r="A126" s="8" t="s">
        <v>162</v>
      </c>
      <c r="B126" s="9">
        <v>110502</v>
      </c>
      <c r="C126" s="6" t="s">
        <v>56</v>
      </c>
      <c r="D126" s="11">
        <f>159632-249.26-4770</f>
        <v>154612.74</v>
      </c>
      <c r="E126" s="11">
        <f>115651+200-3500</f>
        <v>112351</v>
      </c>
      <c r="F126" s="11"/>
      <c r="G126" s="11">
        <f t="shared" si="27"/>
        <v>4000</v>
      </c>
      <c r="H126" s="11"/>
      <c r="I126" s="11"/>
      <c r="J126" s="11"/>
      <c r="K126" s="11">
        <f>4000</f>
        <v>4000</v>
      </c>
      <c r="L126" s="11">
        <f>4000</f>
        <v>4000</v>
      </c>
      <c r="M126" s="11"/>
      <c r="N126" s="11">
        <f t="shared" si="35"/>
        <v>158612.74</v>
      </c>
    </row>
    <row r="127" spans="1:14" ht="15">
      <c r="A127" s="8" t="s">
        <v>163</v>
      </c>
      <c r="B127" s="9">
        <v>110502</v>
      </c>
      <c r="C127" s="6" t="s">
        <v>57</v>
      </c>
      <c r="D127" s="11">
        <f>531845-22560</f>
        <v>509285</v>
      </c>
      <c r="E127" s="11">
        <f>390200-15900</f>
        <v>374300</v>
      </c>
      <c r="F127" s="11"/>
      <c r="G127" s="11">
        <f t="shared" si="27"/>
        <v>35000</v>
      </c>
      <c r="H127" s="27">
        <f>5000</f>
        <v>5000</v>
      </c>
      <c r="I127" s="27"/>
      <c r="J127" s="11"/>
      <c r="K127" s="11">
        <f>5000+25000</f>
        <v>30000</v>
      </c>
      <c r="L127" s="11">
        <f>25000</f>
        <v>25000</v>
      </c>
      <c r="M127" s="11"/>
      <c r="N127" s="11">
        <f t="shared" si="35"/>
        <v>544285</v>
      </c>
    </row>
    <row r="128" spans="1:14" ht="30">
      <c r="A128" s="8"/>
      <c r="B128" s="18">
        <v>250000</v>
      </c>
      <c r="C128" s="15" t="s">
        <v>24</v>
      </c>
      <c r="D128" s="19">
        <f aca="true" t="shared" si="36" ref="D128:M128">D129</f>
        <v>249.26</v>
      </c>
      <c r="E128" s="19">
        <f t="shared" si="36"/>
        <v>0</v>
      </c>
      <c r="F128" s="19">
        <f t="shared" si="36"/>
        <v>0</v>
      </c>
      <c r="G128" s="19">
        <f t="shared" si="36"/>
        <v>0</v>
      </c>
      <c r="H128" s="19">
        <f t="shared" si="36"/>
        <v>0</v>
      </c>
      <c r="I128" s="19">
        <f t="shared" si="36"/>
        <v>0</v>
      </c>
      <c r="J128" s="19">
        <f t="shared" si="36"/>
        <v>0</v>
      </c>
      <c r="K128" s="19">
        <f t="shared" si="36"/>
        <v>0</v>
      </c>
      <c r="L128" s="19">
        <f t="shared" si="36"/>
        <v>0</v>
      </c>
      <c r="M128" s="19">
        <f t="shared" si="36"/>
        <v>0</v>
      </c>
      <c r="N128" s="16">
        <f>D128+G128</f>
        <v>249.26</v>
      </c>
    </row>
    <row r="129" spans="1:14" ht="42.75">
      <c r="A129" s="8"/>
      <c r="B129" s="43">
        <v>250403</v>
      </c>
      <c r="C129" s="6" t="s">
        <v>180</v>
      </c>
      <c r="D129" s="12">
        <f>249.26</f>
        <v>249.26</v>
      </c>
      <c r="E129" s="12"/>
      <c r="F129" s="12"/>
      <c r="G129" s="11"/>
      <c r="H129" s="11"/>
      <c r="I129" s="11"/>
      <c r="J129" s="11"/>
      <c r="K129" s="11"/>
      <c r="L129" s="11"/>
      <c r="M129" s="11"/>
      <c r="N129" s="11">
        <f>D129+G129</f>
        <v>249.26</v>
      </c>
    </row>
    <row r="130" spans="1:14" ht="30.75" customHeight="1">
      <c r="A130" s="8"/>
      <c r="B130" s="20">
        <v>76</v>
      </c>
      <c r="C130" s="15" t="s">
        <v>40</v>
      </c>
      <c r="D130" s="16">
        <f>D133+D131</f>
        <v>0.41999999999825377</v>
      </c>
      <c r="E130" s="16">
        <f aca="true" t="shared" si="37" ref="E130:M130">E133+E131</f>
        <v>0</v>
      </c>
      <c r="F130" s="16">
        <f t="shared" si="37"/>
        <v>0</v>
      </c>
      <c r="G130" s="16">
        <f t="shared" si="37"/>
        <v>3090230</v>
      </c>
      <c r="H130" s="16">
        <f t="shared" si="37"/>
        <v>3090230</v>
      </c>
      <c r="I130" s="16">
        <f t="shared" si="37"/>
        <v>0</v>
      </c>
      <c r="J130" s="16">
        <f t="shared" si="37"/>
        <v>0</v>
      </c>
      <c r="K130" s="16">
        <f t="shared" si="37"/>
        <v>0</v>
      </c>
      <c r="L130" s="16">
        <f t="shared" si="37"/>
        <v>0</v>
      </c>
      <c r="M130" s="16">
        <f t="shared" si="37"/>
        <v>0</v>
      </c>
      <c r="N130" s="16">
        <f t="shared" si="35"/>
        <v>3090230.42</v>
      </c>
    </row>
    <row r="131" spans="1:14" ht="30.75" customHeight="1">
      <c r="A131" s="8"/>
      <c r="B131" s="18">
        <v>100000</v>
      </c>
      <c r="C131" s="15" t="s">
        <v>14</v>
      </c>
      <c r="D131" s="16">
        <f>D132</f>
        <v>0</v>
      </c>
      <c r="E131" s="16">
        <f aca="true" t="shared" si="38" ref="E131:M131">E132</f>
        <v>0</v>
      </c>
      <c r="F131" s="16">
        <f t="shared" si="38"/>
        <v>0</v>
      </c>
      <c r="G131" s="16">
        <f t="shared" si="38"/>
        <v>3090230</v>
      </c>
      <c r="H131" s="16">
        <f t="shared" si="38"/>
        <v>3090230</v>
      </c>
      <c r="I131" s="16">
        <f t="shared" si="38"/>
        <v>0</v>
      </c>
      <c r="J131" s="16">
        <f t="shared" si="38"/>
        <v>0</v>
      </c>
      <c r="K131" s="16">
        <f t="shared" si="38"/>
        <v>0</v>
      </c>
      <c r="L131" s="16">
        <f t="shared" si="38"/>
        <v>0</v>
      </c>
      <c r="M131" s="16">
        <f t="shared" si="38"/>
        <v>0</v>
      </c>
      <c r="N131" s="16">
        <f t="shared" si="35"/>
        <v>3090230</v>
      </c>
    </row>
    <row r="132" spans="1:14" ht="73.5" customHeight="1">
      <c r="A132" s="8"/>
      <c r="B132" s="37">
        <v>100602</v>
      </c>
      <c r="C132" s="6" t="s">
        <v>189</v>
      </c>
      <c r="D132" s="27"/>
      <c r="E132" s="27"/>
      <c r="F132" s="27"/>
      <c r="G132" s="27">
        <f>H132+K132</f>
        <v>3090230</v>
      </c>
      <c r="H132" s="27">
        <f>1936000+1018605.15+135624.85</f>
        <v>3090230</v>
      </c>
      <c r="I132" s="27"/>
      <c r="J132" s="27"/>
      <c r="K132" s="27"/>
      <c r="L132" s="27"/>
      <c r="M132" s="27"/>
      <c r="N132" s="27">
        <f t="shared" si="35"/>
        <v>3090230</v>
      </c>
    </row>
    <row r="133" spans="1:14" ht="30">
      <c r="A133" s="8"/>
      <c r="B133" s="18">
        <v>250000</v>
      </c>
      <c r="C133" s="15" t="s">
        <v>24</v>
      </c>
      <c r="D133" s="16">
        <f>SUM(D134:D134)</f>
        <v>0.41999999999825377</v>
      </c>
      <c r="E133" s="16">
        <f>SUM(E134:E134)</f>
        <v>0</v>
      </c>
      <c r="F133" s="16">
        <f>SUM(F134:F134)</f>
        <v>0</v>
      </c>
      <c r="G133" s="16">
        <f>H133+K133</f>
        <v>0</v>
      </c>
      <c r="H133" s="16">
        <f aca="true" t="shared" si="39" ref="H133:M133">SUM(H134:H134)</f>
        <v>0</v>
      </c>
      <c r="I133" s="16">
        <f t="shared" si="39"/>
        <v>0</v>
      </c>
      <c r="J133" s="16">
        <f t="shared" si="39"/>
        <v>0</v>
      </c>
      <c r="K133" s="16">
        <f t="shared" si="39"/>
        <v>0</v>
      </c>
      <c r="L133" s="16">
        <f t="shared" si="39"/>
        <v>0</v>
      </c>
      <c r="M133" s="16">
        <f t="shared" si="39"/>
        <v>0</v>
      </c>
      <c r="N133" s="16">
        <f t="shared" si="35"/>
        <v>0.41999999999825377</v>
      </c>
    </row>
    <row r="134" spans="1:14" ht="15">
      <c r="A134" s="8"/>
      <c r="B134" s="9">
        <v>250102</v>
      </c>
      <c r="C134" s="6" t="s">
        <v>41</v>
      </c>
      <c r="D134" s="27">
        <f>100000-11656.58-24892-55000-8451</f>
        <v>0.41999999999825377</v>
      </c>
      <c r="E134" s="11"/>
      <c r="F134" s="11"/>
      <c r="G134" s="11">
        <f>H134+K134</f>
        <v>0</v>
      </c>
      <c r="H134" s="11"/>
      <c r="I134" s="11"/>
      <c r="J134" s="11"/>
      <c r="K134" s="11"/>
      <c r="L134" s="11"/>
      <c r="M134" s="11"/>
      <c r="N134" s="11">
        <f t="shared" si="35"/>
        <v>0.41999999999825377</v>
      </c>
    </row>
    <row r="135" spans="1:14" ht="15">
      <c r="A135" s="8"/>
      <c r="B135" s="18" t="s">
        <v>42</v>
      </c>
      <c r="C135" s="18"/>
      <c r="D135" s="16">
        <f aca="true" t="shared" si="40" ref="D135:M135">D130+D119+D78+D63+D11</f>
        <v>124793696.41</v>
      </c>
      <c r="E135" s="16">
        <f t="shared" si="40"/>
        <v>36383402</v>
      </c>
      <c r="F135" s="16">
        <f t="shared" si="40"/>
        <v>4295615</v>
      </c>
      <c r="G135" s="16">
        <f t="shared" si="40"/>
        <v>23238184.380000003</v>
      </c>
      <c r="H135" s="16">
        <f t="shared" si="40"/>
        <v>7934730.01</v>
      </c>
      <c r="I135" s="16">
        <f t="shared" si="40"/>
        <v>646136</v>
      </c>
      <c r="J135" s="16">
        <f t="shared" si="40"/>
        <v>126407</v>
      </c>
      <c r="K135" s="16">
        <f t="shared" si="40"/>
        <v>15303454.370000001</v>
      </c>
      <c r="L135" s="16">
        <f t="shared" si="40"/>
        <v>11991670.8</v>
      </c>
      <c r="M135" s="16">
        <f t="shared" si="40"/>
        <v>50000</v>
      </c>
      <c r="N135" s="16">
        <f t="shared" si="35"/>
        <v>148031880.79</v>
      </c>
    </row>
    <row r="138" spans="3:14" ht="15">
      <c r="C138" s="1" t="s">
        <v>43</v>
      </c>
      <c r="G138" s="7"/>
      <c r="H138" s="1" t="s">
        <v>44</v>
      </c>
      <c r="L138" s="7"/>
      <c r="N138" s="7"/>
    </row>
    <row r="139" spans="3:14" ht="15">
      <c r="C139" s="1"/>
      <c r="G139" s="7"/>
      <c r="H139" s="1"/>
      <c r="L139" s="7"/>
      <c r="N139" s="7"/>
    </row>
    <row r="140" spans="4:14" ht="69" customHeight="1">
      <c r="D140" s="7"/>
      <c r="E140" s="51"/>
      <c r="F140" s="51"/>
      <c r="G140" s="7"/>
      <c r="H140" s="51"/>
      <c r="I140" s="51"/>
      <c r="J140" s="59"/>
      <c r="L140" s="7"/>
      <c r="N140" s="7"/>
    </row>
    <row r="141" spans="4:14" ht="15">
      <c r="D141" s="7"/>
      <c r="G141" s="7"/>
      <c r="H141" s="59"/>
      <c r="I141" s="59"/>
      <c r="J141" s="59"/>
      <c r="L141" s="7"/>
      <c r="N141" s="7"/>
    </row>
    <row r="142" spans="4:14" ht="15">
      <c r="D142" s="7"/>
      <c r="E142" s="7"/>
      <c r="F142" s="7"/>
      <c r="G142" s="7"/>
      <c r="H142" s="7"/>
      <c r="I142" s="7"/>
      <c r="J142" s="7"/>
      <c r="K142" s="7"/>
      <c r="L142" s="7"/>
      <c r="M142" s="7"/>
      <c r="N142" s="7"/>
    </row>
    <row r="143" spans="4:14" ht="15">
      <c r="D143" s="7"/>
      <c r="E143" s="7"/>
      <c r="F143" s="7"/>
      <c r="G143" s="7"/>
      <c r="H143" s="7"/>
      <c r="I143" s="7"/>
      <c r="J143" s="7"/>
      <c r="K143" s="7"/>
      <c r="L143" s="7"/>
      <c r="M143" s="7"/>
      <c r="N143" s="7"/>
    </row>
    <row r="144" spans="7:14" ht="15">
      <c r="G144" s="7"/>
      <c r="H144" s="1"/>
      <c r="L144" s="7"/>
      <c r="N144" s="7"/>
    </row>
    <row r="145" spans="4:14" ht="56.25" customHeight="1">
      <c r="D145" s="7"/>
      <c r="E145" s="51"/>
      <c r="F145" s="51"/>
      <c r="G145" s="7"/>
      <c r="H145" s="51"/>
      <c r="I145" s="51"/>
      <c r="J145" s="59"/>
      <c r="L145" s="7"/>
      <c r="N145" s="7"/>
    </row>
    <row r="146" spans="4:14" ht="15">
      <c r="D146" s="7"/>
      <c r="G146" s="7"/>
      <c r="H146" s="59"/>
      <c r="I146" s="59"/>
      <c r="J146" s="59"/>
      <c r="L146" s="7"/>
      <c r="N146" s="7"/>
    </row>
    <row r="147" spans="4:14" ht="15">
      <c r="D147" s="7"/>
      <c r="E147" s="7"/>
      <c r="F147" s="7"/>
      <c r="G147" s="7"/>
      <c r="H147" s="7"/>
      <c r="I147" s="7"/>
      <c r="J147" s="7"/>
      <c r="K147" s="7"/>
      <c r="L147" s="7"/>
      <c r="M147" s="7"/>
      <c r="N147" s="7"/>
    </row>
    <row r="148" spans="4:14" ht="15">
      <c r="D148" s="7"/>
      <c r="E148" s="7"/>
      <c r="F148" s="7"/>
      <c r="G148" s="7"/>
      <c r="H148" s="7"/>
      <c r="I148" s="7"/>
      <c r="J148" s="7"/>
      <c r="K148" s="7"/>
      <c r="L148" s="7"/>
      <c r="M148" s="7"/>
      <c r="N148" s="7"/>
    </row>
    <row r="149" spans="7:14" ht="15">
      <c r="G149" s="7"/>
      <c r="H149" s="1"/>
      <c r="L149" s="7"/>
      <c r="N149" s="7"/>
    </row>
    <row r="150" spans="7:14" ht="15">
      <c r="G150" s="7"/>
      <c r="H150" s="1"/>
      <c r="L150" s="7"/>
      <c r="N150" s="7"/>
    </row>
    <row r="151" spans="3:14" ht="15">
      <c r="C151" s="1"/>
      <c r="G151" s="7"/>
      <c r="H151" s="1"/>
      <c r="L151" s="7"/>
      <c r="N151" s="7"/>
    </row>
    <row r="152" spans="4:14" ht="58.5" customHeight="1">
      <c r="D152" s="7"/>
      <c r="E152" s="51"/>
      <c r="F152" s="51"/>
      <c r="G152" s="7"/>
      <c r="H152" s="51"/>
      <c r="I152" s="51"/>
      <c r="J152" s="59"/>
      <c r="L152" s="7"/>
      <c r="N152" s="7"/>
    </row>
    <row r="153" spans="4:14" ht="15">
      <c r="D153" s="7"/>
      <c r="G153" s="7"/>
      <c r="H153" s="59"/>
      <c r="I153" s="59"/>
      <c r="J153" s="59"/>
      <c r="L153" s="7"/>
      <c r="N153" s="7"/>
    </row>
    <row r="154" spans="4:14" ht="15">
      <c r="D154" s="7"/>
      <c r="E154" s="7"/>
      <c r="F154" s="7"/>
      <c r="G154" s="7"/>
      <c r="H154" s="7"/>
      <c r="I154" s="7"/>
      <c r="J154" s="7"/>
      <c r="K154" s="7"/>
      <c r="L154" s="7"/>
      <c r="M154" s="7"/>
      <c r="N154" s="7"/>
    </row>
    <row r="155" spans="4:14" ht="15">
      <c r="D155" s="7"/>
      <c r="E155" s="7"/>
      <c r="F155" s="7"/>
      <c r="G155" s="7"/>
      <c r="H155" s="7"/>
      <c r="I155" s="7"/>
      <c r="J155" s="7"/>
      <c r="K155" s="7"/>
      <c r="L155" s="7"/>
      <c r="M155" s="7"/>
      <c r="N155" s="7"/>
    </row>
    <row r="156" spans="5:8" ht="15">
      <c r="E156" s="45"/>
      <c r="F156" s="45"/>
      <c r="H156" s="46"/>
    </row>
    <row r="157" spans="4:14" ht="15">
      <c r="D157" s="7"/>
      <c r="E157" s="7"/>
      <c r="F157" s="7"/>
      <c r="G157" s="7"/>
      <c r="H157" s="7"/>
      <c r="K157" s="7"/>
      <c r="L157" s="7"/>
      <c r="N157" s="7"/>
    </row>
    <row r="158" spans="4:14" ht="37.5" customHeight="1">
      <c r="D158" s="7"/>
      <c r="E158" s="51"/>
      <c r="F158" s="51"/>
      <c r="G158" s="7"/>
      <c r="H158" s="51"/>
      <c r="I158" s="51"/>
      <c r="J158" s="59"/>
      <c r="L158" s="7"/>
      <c r="M158" s="58"/>
      <c r="N158" s="7"/>
    </row>
    <row r="159" spans="4:14" ht="15">
      <c r="D159" s="7"/>
      <c r="G159" s="7"/>
      <c r="H159" s="59"/>
      <c r="I159" s="59"/>
      <c r="J159" s="59"/>
      <c r="L159" s="7"/>
      <c r="M159" s="58"/>
      <c r="N159" s="7"/>
    </row>
    <row r="160" spans="4:14" ht="15">
      <c r="D160" s="7"/>
      <c r="E160" s="7"/>
      <c r="F160" s="7"/>
      <c r="G160" s="7"/>
      <c r="H160" s="7"/>
      <c r="I160" s="7"/>
      <c r="J160" s="7"/>
      <c r="K160" s="7"/>
      <c r="L160" s="7"/>
      <c r="M160" s="7"/>
      <c r="N160" s="7"/>
    </row>
    <row r="161" spans="4:14" ht="15">
      <c r="D161" s="7"/>
      <c r="E161" s="7"/>
      <c r="F161" s="7"/>
      <c r="G161" s="7"/>
      <c r="H161" s="7"/>
      <c r="I161" s="7"/>
      <c r="J161" s="7"/>
      <c r="K161" s="7"/>
      <c r="L161" s="7"/>
      <c r="M161" s="7"/>
      <c r="N161" s="7"/>
    </row>
    <row r="166" spans="4:6" ht="15">
      <c r="D166" s="7"/>
      <c r="F166" s="7"/>
    </row>
  </sheetData>
  <sheetProtection/>
  <mergeCells count="31">
    <mergeCell ref="K2:N2"/>
    <mergeCell ref="N6:N9"/>
    <mergeCell ref="L7:M7"/>
    <mergeCell ref="L8:L9"/>
    <mergeCell ref="K7:K9"/>
    <mergeCell ref="B3:N3"/>
    <mergeCell ref="C5:O5"/>
    <mergeCell ref="B4:N4"/>
    <mergeCell ref="I7:J7"/>
    <mergeCell ref="H145:J146"/>
    <mergeCell ref="H7:H9"/>
    <mergeCell ref="E8:E9"/>
    <mergeCell ref="H140:J141"/>
    <mergeCell ref="G6:M6"/>
    <mergeCell ref="G7:G9"/>
    <mergeCell ref="E7:F7"/>
    <mergeCell ref="M158:M159"/>
    <mergeCell ref="E158:F158"/>
    <mergeCell ref="H158:J159"/>
    <mergeCell ref="J8:J9"/>
    <mergeCell ref="E152:F152"/>
    <mergeCell ref="H152:J153"/>
    <mergeCell ref="I8:I9"/>
    <mergeCell ref="E145:F145"/>
    <mergeCell ref="E140:F140"/>
    <mergeCell ref="A6:A9"/>
    <mergeCell ref="B6:B9"/>
    <mergeCell ref="C7:C9"/>
    <mergeCell ref="D6:F6"/>
    <mergeCell ref="F8:F9"/>
    <mergeCell ref="D7:D9"/>
  </mergeCells>
  <printOptions/>
  <pageMargins left="0.1968503937007874" right="0.1968503937007874" top="0.4724409448818898" bottom="0.5905511811023623" header="0" footer="0"/>
  <pageSetup horizontalDpi="600" verticalDpi="600" orientation="landscape" paperSize="9" scale="6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2014-05-26T13:56:54Z</cp:lastPrinted>
  <dcterms:created xsi:type="dcterms:W3CDTF">2010-04-28T10:23:51Z</dcterms:created>
  <dcterms:modified xsi:type="dcterms:W3CDTF">2014-06-23T07:11:42Z</dcterms:modified>
  <cp:category/>
  <cp:version/>
  <cp:contentType/>
  <cp:contentStatus/>
</cp:coreProperties>
</file>