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'Лист1'!$A$1:$M$100</definedName>
  </definedNames>
  <calcPr fullCalcOnLoad="1"/>
</workbook>
</file>

<file path=xl/sharedStrings.xml><?xml version="1.0" encoding="utf-8"?>
<sst xmlns="http://schemas.openxmlformats.org/spreadsheetml/2006/main" count="115" uniqueCount="109">
  <si>
    <t>Додаток 2</t>
  </si>
  <si>
    <t>грн.</t>
  </si>
  <si>
    <t>Код КТКВ</t>
  </si>
  <si>
    <t>Найменування видатків бюджету за функціональною структурою (за шестизначним кодом)</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</si>
  <si>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</si>
  <si>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</si>
  <si>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</si>
  <si>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</si>
  <si>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</si>
  <si>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</si>
  <si>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</si>
  <si>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</si>
  <si>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</si>
  <si>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</si>
  <si>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</si>
  <si>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</si>
  <si>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</si>
  <si>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</si>
  <si>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</si>
  <si>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</si>
  <si>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</si>
  <si>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</si>
  <si>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</si>
  <si>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</si>
  <si>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</si>
  <si>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</si>
  <si>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</si>
  <si>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</si>
  <si>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</si>
  <si>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</si>
  <si>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</si>
  <si>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</si>
  <si>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</si>
  <si>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</si>
  <si>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</si>
  <si>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</si>
  <si>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</si>
  <si>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</si>
  <si>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</si>
  <si>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</si>
  <si>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</si>
  <si>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</si>
  <si>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</si>
  <si>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Коменсаційні виплати на пільговий проїзд автомобільним транспортом окремим категоріям громодян</t>
  </si>
  <si>
    <t>Видатки на проведення робіт, пов`язаних з будiвництвом, реконструкцiєю, ремонтом i утриманням автомобiльних дорiг</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</si>
  <si>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</si>
  <si>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</si>
  <si>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</si>
  <si>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</si>
  <si>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</si>
  <si>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</si>
  <si>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</si>
  <si>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Між бюджетні трансферти</t>
  </si>
  <si>
    <t>Субвенції</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</si>
  <si>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</si>
  <si>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</si>
  <si>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</si>
  <si>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ВСЬОГО ВИДАТКІВ</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</si>
  <si>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</si>
  <si>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</si>
  <si>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</si>
  <si>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</si>
  <si>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</si>
  <si>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</si>
  <si>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</si>
  <si>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</si>
  <si>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</si>
  <si>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</si>
  <si>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</si>
  <si>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</si>
  <si>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</si>
  <si>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</si>
  <si>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</si>
  <si>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</si>
  <si>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</si>
  <si>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</si>
  <si>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</si>
  <si>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</si>
  <si>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</si>
  <si>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</si>
  <si>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</si>
  <si>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</si>
  <si>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(грн.)</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</si>
  <si>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</si>
  <si>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</si>
  <si>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</si>
  <si>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</si>
  <si>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</si>
  <si>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</si>
  <si>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</si>
  <si>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</si>
  <si>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</si>
  <si>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</si>
  <si>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</si>
  <si>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</si>
  <si>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</si>
  <si>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</si>
  <si>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</si>
  <si>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Видатки бюджету міста Старокостянтинова на 2012 рік</t>
  </si>
  <si>
    <t>Видатки на запобігання та ліквідацію надзвичайних ситуацій та наслідків стихійного лиха</t>
  </si>
  <si>
    <t>Розробка схем та проектних рішень масового застосування</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</si>
  <si>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</si>
  <si>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фонди суб"єктів підприємницької дяльності</t>
  </si>
  <si>
    <t>Капітальний ремонт житлового фонду місцевих органів влади</t>
  </si>
  <si>
    <t>Заходи у сфері захисту населення і територій від надзвичайних ситуацій техногенного та природного характеру</t>
  </si>
  <si>
    <t>Субвенція з місцевого бюджету державному бюджету на виконання пролграм соціально-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</si>
  <si>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 на виконання рішень суду</t>
  </si>
  <si>
    <t>Водопровідно - каналізаційне господарство</t>
  </si>
  <si>
    <t>до  рішення 24 сесії міської ради від 06.07.2012р. № 27  "Про внесення змін до бюджету міста на 2012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</si>
</sst>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1">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40">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vertical="center"/>
    </xf>
    <xf numFmtId="2" fontId="0" fillId="0" borderId="0" xfId="0" applyNumberFormat="1" applyAlignment="1">
      <alignment/>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5" fillId="0" borderId="10" xfId="0" applyFont="1" applyBorder="1" applyAlignment="1">
      <alignment horizontal="center" vertical="center" wrapText="1"/>
    </xf>
    <xf numFmtId="0" fontId="3" fillId="0" borderId="0" xfId="0" applyFont="1" applyAlignment="1">
      <alignment vertical="top" wrapText="1"/>
    </xf>
    <xf numFmtId="0" fontId="2" fillId="0" borderId="10" xfId="0" applyFont="1" applyFill="1" applyBorder="1" applyAlignment="1">
      <alignment vertical="top" wrapText="1"/>
    </xf>
    <xf numFmtId="0" fontId="5" fillId="0" borderId="10" xfId="0" applyFont="1" applyFill="1" applyBorder="1" applyAlignment="1">
      <alignment vertical="top" wrapText="1"/>
    </xf>
    <xf numFmtId="0" fontId="3" fillId="0" borderId="10" xfId="0" applyFont="1" applyBorder="1" applyAlignment="1">
      <alignment vertical="top"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0" fillId="0" borderId="12" xfId="0" applyBorder="1" applyAlignment="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0"/>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4" sqref="A14"/>
      <selection pane="bottomRight" activeCell="O3" sqref="O3"/>
    </sheetView>
  </sheetViews>
  <sheetFormatPr defaultColWidth="9.140625" defaultRowHeight="15"/>
  <cols>
    <col min="1" max="1" width="9.28125" style="0" bestFit="1" customWidth="1"/>
    <col min="2" max="2" width="39.00390625" style="0" customWidth="1"/>
    <col min="3" max="3" width="16.421875" style="0" customWidth="1"/>
    <col min="4" max="4" width="14.8515625" style="0" customWidth="1"/>
    <col min="5" max="5" width="13.57421875" style="0" customWidth="1"/>
    <col min="6" max="6" width="14.140625" style="0" customWidth="1"/>
    <col min="7" max="7" width="14.7109375" style="0" customWidth="1"/>
    <col min="8" max="8" width="12.28125" style="0" customWidth="1"/>
    <col min="9" max="9" width="11.00390625" style="0" customWidth="1"/>
    <col min="10" max="12" width="14.28125" style="0" customWidth="1"/>
    <col min="13" max="13" width="15.7109375" style="0" customWidth="1"/>
    <col min="16" max="16" width="9.57421875" style="0" bestFit="1" customWidth="1"/>
    <col min="17" max="17" width="9.7109375" style="0" bestFit="1"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28" t="s">
        <v>108</v>
      </c>
      <c r="K2" s="28"/>
      <c r="L2" s="28"/>
      <c r="M2" s="29"/>
    </row>
    <row r="3" spans="1:13" ht="15">
      <c r="A3" s="30" t="s">
        <v>98</v>
      </c>
      <c r="B3" s="31"/>
      <c r="C3" s="31"/>
      <c r="D3" s="31"/>
      <c r="E3" s="31"/>
      <c r="F3" s="31"/>
      <c r="G3" s="31"/>
      <c r="H3" s="31"/>
      <c r="I3" s="31"/>
      <c r="J3" s="31"/>
      <c r="K3" s="31"/>
      <c r="L3" s="31"/>
      <c r="M3" s="31"/>
    </row>
    <row r="4" spans="1:13" ht="18" customHeight="1">
      <c r="A4" s="30" t="s">
        <v>81</v>
      </c>
      <c r="B4" s="31"/>
      <c r="C4" s="31"/>
      <c r="D4" s="31"/>
      <c r="E4" s="31"/>
      <c r="F4" s="31"/>
      <c r="G4" s="31"/>
      <c r="H4" s="31"/>
      <c r="I4" s="31"/>
      <c r="J4" s="31"/>
      <c r="K4" s="31"/>
      <c r="L4" s="31"/>
      <c r="M4" s="31"/>
    </row>
    <row r="5" spans="1:13" ht="15">
      <c r="A5" s="4"/>
      <c r="B5" s="4"/>
      <c r="C5" s="4"/>
      <c r="D5" s="4"/>
      <c r="E5" s="4"/>
      <c r="F5" s="4"/>
      <c r="G5" s="4"/>
      <c r="H5" s="4"/>
      <c r="I5" s="4"/>
      <c r="J5" s="4"/>
      <c r="K5" s="4"/>
      <c r="L5" s="4" t="s">
        <v>82</v>
      </c>
      <c r="M5" s="5" t="s">
        <v>1</v>
      </c>
    </row>
    <row r="6" spans="1:13" ht="15">
      <c r="A6" s="27" t="s">
        <v>2</v>
      </c>
      <c r="B6" s="27" t="s">
        <v>3</v>
      </c>
      <c r="C6" s="32" t="s">
        <v>4</v>
      </c>
      <c r="D6" s="32"/>
      <c r="E6" s="32"/>
      <c r="F6" s="32" t="s">
        <v>11</v>
      </c>
      <c r="G6" s="32"/>
      <c r="H6" s="32"/>
      <c r="I6" s="32"/>
      <c r="J6" s="32"/>
      <c r="K6" s="32"/>
      <c r="L6" s="32"/>
      <c r="M6" s="32" t="s">
        <v>12</v>
      </c>
    </row>
    <row r="7" spans="1:13" ht="15">
      <c r="A7" s="27"/>
      <c r="B7" s="27"/>
      <c r="C7" s="27" t="s">
        <v>5</v>
      </c>
      <c r="D7" s="26" t="s">
        <v>7</v>
      </c>
      <c r="E7" s="26"/>
      <c r="F7" s="27" t="s">
        <v>5</v>
      </c>
      <c r="G7" s="26" t="s">
        <v>6</v>
      </c>
      <c r="H7" s="26" t="s">
        <v>7</v>
      </c>
      <c r="I7" s="26"/>
      <c r="J7" s="26" t="s">
        <v>10</v>
      </c>
      <c r="K7" s="35" t="s">
        <v>7</v>
      </c>
      <c r="L7" s="36"/>
      <c r="M7" s="32"/>
    </row>
    <row r="8" spans="1:13" ht="25.5" customHeight="1">
      <c r="A8" s="27"/>
      <c r="B8" s="27"/>
      <c r="C8" s="27"/>
      <c r="D8" s="26" t="s">
        <v>8</v>
      </c>
      <c r="E8" s="26" t="s">
        <v>9</v>
      </c>
      <c r="F8" s="27"/>
      <c r="G8" s="26"/>
      <c r="H8" s="26" t="s">
        <v>8</v>
      </c>
      <c r="I8" s="26" t="s">
        <v>9</v>
      </c>
      <c r="J8" s="26"/>
      <c r="K8" s="37" t="s">
        <v>79</v>
      </c>
      <c r="L8" s="7" t="s">
        <v>7</v>
      </c>
      <c r="M8" s="32"/>
    </row>
    <row r="9" spans="1:13" ht="148.5" customHeight="1">
      <c r="A9" s="27"/>
      <c r="B9" s="27"/>
      <c r="C9" s="27"/>
      <c r="D9" s="26"/>
      <c r="E9" s="26"/>
      <c r="F9" s="27"/>
      <c r="G9" s="26"/>
      <c r="H9" s="26"/>
      <c r="I9" s="26"/>
      <c r="J9" s="26"/>
      <c r="K9" s="38"/>
      <c r="L9" s="7" t="s">
        <v>80</v>
      </c>
      <c r="M9" s="32"/>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21" t="s">
        <v>13</v>
      </c>
      <c r="C11" s="13">
        <f aca="true" t="shared" si="0" ref="C11:L11">C12</f>
        <v>5407215.57</v>
      </c>
      <c r="D11" s="13">
        <f t="shared" si="0"/>
        <v>3600460</v>
      </c>
      <c r="E11" s="13">
        <f t="shared" si="0"/>
        <v>149983</v>
      </c>
      <c r="F11" s="13">
        <f t="shared" si="0"/>
        <v>192820</v>
      </c>
      <c r="G11" s="13">
        <f t="shared" si="0"/>
        <v>0</v>
      </c>
      <c r="H11" s="13">
        <f t="shared" si="0"/>
        <v>0</v>
      </c>
      <c r="I11" s="13">
        <f>I12</f>
        <v>0</v>
      </c>
      <c r="J11" s="13">
        <f t="shared" si="0"/>
        <v>192820</v>
      </c>
      <c r="K11" s="13">
        <f t="shared" si="0"/>
        <v>168820</v>
      </c>
      <c r="L11" s="13">
        <f t="shared" si="0"/>
        <v>0</v>
      </c>
      <c r="M11" s="13">
        <f aca="true" t="shared" si="1" ref="M11:M40">C11+F11</f>
        <v>5600035.57</v>
      </c>
    </row>
    <row r="12" spans="1:13" ht="15">
      <c r="A12" s="10">
        <v>10116</v>
      </c>
      <c r="B12" s="12" t="s">
        <v>14</v>
      </c>
      <c r="C12" s="14">
        <f>5062400+25925.57+318890</f>
        <v>5407215.57</v>
      </c>
      <c r="D12" s="14">
        <f>3366360+234100</f>
        <v>3600460</v>
      </c>
      <c r="E12" s="14">
        <f>149983</f>
        <v>149983</v>
      </c>
      <c r="F12" s="14">
        <f>G12+J12</f>
        <v>192820</v>
      </c>
      <c r="G12" s="14"/>
      <c r="H12" s="14"/>
      <c r="I12" s="14"/>
      <c r="J12" s="14">
        <f>24000+63575+90610+14635</f>
        <v>192820</v>
      </c>
      <c r="K12" s="14">
        <f>63575+90610+14635</f>
        <v>168820</v>
      </c>
      <c r="L12" s="14"/>
      <c r="M12" s="14">
        <f t="shared" si="1"/>
        <v>5600035.57</v>
      </c>
    </row>
    <row r="13" spans="1:13" ht="15">
      <c r="A13" s="8">
        <v>70000</v>
      </c>
      <c r="B13" s="21" t="s">
        <v>15</v>
      </c>
      <c r="C13" s="13">
        <f>SUM(C14:C21)</f>
        <v>40142139.099999994</v>
      </c>
      <c r="D13" s="13">
        <f>SUM(D14:D21)</f>
        <v>23905473</v>
      </c>
      <c r="E13" s="13">
        <f>SUM(E14:E21)</f>
        <v>5320096</v>
      </c>
      <c r="F13" s="13">
        <f>G13+J13</f>
        <v>2179915.06</v>
      </c>
      <c r="G13" s="13">
        <f aca="true" t="shared" si="2" ref="G13:L13">SUM(G14:G21)</f>
        <v>1621240</v>
      </c>
      <c r="H13" s="13">
        <f t="shared" si="2"/>
        <v>233915</v>
      </c>
      <c r="I13" s="13">
        <f t="shared" si="2"/>
        <v>10142</v>
      </c>
      <c r="J13" s="13">
        <f t="shared" si="2"/>
        <v>558675.06</v>
      </c>
      <c r="K13" s="13">
        <f t="shared" si="2"/>
        <v>476075.06</v>
      </c>
      <c r="L13" s="13">
        <f t="shared" si="2"/>
        <v>5680</v>
      </c>
      <c r="M13" s="13">
        <f t="shared" si="1"/>
        <v>42322054.16</v>
      </c>
    </row>
    <row r="14" spans="1:17" ht="15">
      <c r="A14" s="10">
        <v>70101</v>
      </c>
      <c r="B14" s="12" t="s">
        <v>16</v>
      </c>
      <c r="C14" s="14">
        <f>12464460+242983.74+3126-60000+221370</f>
        <v>12871939.74</v>
      </c>
      <c r="D14" s="14">
        <f>6893866+162400</f>
        <v>7056266</v>
      </c>
      <c r="E14" s="14">
        <f>2007735</f>
        <v>2007735</v>
      </c>
      <c r="F14" s="14">
        <f aca="true" t="shared" si="3" ref="F14:F72">G14+J14</f>
        <v>1059769</v>
      </c>
      <c r="G14" s="14">
        <f>969987</f>
        <v>969987</v>
      </c>
      <c r="H14" s="14">
        <f>30805</f>
        <v>30805</v>
      </c>
      <c r="I14" s="14"/>
      <c r="J14" s="14">
        <f>7900+81882</f>
        <v>89782</v>
      </c>
      <c r="K14" s="14">
        <f>81882</f>
        <v>81882</v>
      </c>
      <c r="L14" s="14"/>
      <c r="M14" s="14">
        <f t="shared" si="1"/>
        <v>13931708.74</v>
      </c>
      <c r="Q14" s="16"/>
    </row>
    <row r="15" spans="1:13" ht="57">
      <c r="A15" s="10">
        <v>70201</v>
      </c>
      <c r="B15" s="12" t="s">
        <v>17</v>
      </c>
      <c r="C15" s="14">
        <f>22988123+48443.09+2084+60000+490900</f>
        <v>23589550.09</v>
      </c>
      <c r="D15" s="14">
        <f>14232508-51400+360200</f>
        <v>14541308</v>
      </c>
      <c r="E15" s="14">
        <f>3206221</f>
        <v>3206221</v>
      </c>
      <c r="F15" s="14">
        <f t="shared" si="3"/>
        <v>662613.06</v>
      </c>
      <c r="G15" s="14">
        <f>241420</f>
        <v>241420</v>
      </c>
      <c r="H15" s="14">
        <f>66030</f>
        <v>66030</v>
      </c>
      <c r="I15" s="14"/>
      <c r="J15" s="14">
        <f>27000+5680+388513.06</f>
        <v>421193.06</v>
      </c>
      <c r="K15" s="14">
        <f>388513.06+5680</f>
        <v>394193.06</v>
      </c>
      <c r="L15" s="14">
        <f>5680</f>
        <v>5680</v>
      </c>
      <c r="M15" s="14">
        <f t="shared" si="1"/>
        <v>24252163.15</v>
      </c>
    </row>
    <row r="16" spans="1:13" ht="28.5">
      <c r="A16" s="10">
        <v>70303</v>
      </c>
      <c r="B16" s="12" t="s">
        <v>59</v>
      </c>
      <c r="C16" s="14">
        <f>235900+4583</f>
        <v>240483</v>
      </c>
      <c r="D16" s="14"/>
      <c r="E16" s="14"/>
      <c r="F16" s="14">
        <f t="shared" si="3"/>
        <v>0</v>
      </c>
      <c r="G16" s="14"/>
      <c r="H16" s="14"/>
      <c r="I16" s="14"/>
      <c r="J16" s="14"/>
      <c r="K16" s="14"/>
      <c r="L16" s="14"/>
      <c r="M16" s="14">
        <f t="shared" si="1"/>
        <v>240483</v>
      </c>
    </row>
    <row r="17" spans="1:13" ht="28.5">
      <c r="A17" s="10">
        <v>70401</v>
      </c>
      <c r="B17" s="12" t="s">
        <v>18</v>
      </c>
      <c r="C17" s="14">
        <f>1060612+818.26+89959-956</f>
        <v>1150433.26</v>
      </c>
      <c r="D17" s="14">
        <f>775135</f>
        <v>775135</v>
      </c>
      <c r="E17" s="14">
        <f>1162</f>
        <v>1162</v>
      </c>
      <c r="F17" s="14">
        <f t="shared" si="3"/>
        <v>0</v>
      </c>
      <c r="G17" s="14"/>
      <c r="H17" s="14"/>
      <c r="I17" s="14"/>
      <c r="J17" s="14"/>
      <c r="K17" s="14"/>
      <c r="L17" s="14"/>
      <c r="M17" s="14">
        <f t="shared" si="1"/>
        <v>1150433.26</v>
      </c>
    </row>
    <row r="18" spans="1:13" ht="28.5">
      <c r="A18" s="10">
        <v>70802</v>
      </c>
      <c r="B18" s="12" t="s">
        <v>19</v>
      </c>
      <c r="C18" s="14">
        <f>507869+3641.76+13800</f>
        <v>525310.76</v>
      </c>
      <c r="D18" s="14">
        <f>331178+10100</f>
        <v>341278</v>
      </c>
      <c r="E18" s="14">
        <f>37172</f>
        <v>37172</v>
      </c>
      <c r="F18" s="14">
        <f t="shared" si="3"/>
        <v>0</v>
      </c>
      <c r="G18" s="14"/>
      <c r="H18" s="14"/>
      <c r="I18" s="14"/>
      <c r="J18" s="14"/>
      <c r="K18" s="14"/>
      <c r="L18" s="14"/>
      <c r="M18" s="14">
        <f t="shared" si="1"/>
        <v>525310.76</v>
      </c>
    </row>
    <row r="19" spans="1:13" ht="28.5">
      <c r="A19" s="10">
        <v>70804</v>
      </c>
      <c r="B19" s="12" t="s">
        <v>20</v>
      </c>
      <c r="C19" s="14">
        <f>880614+1746.25</f>
        <v>882360.25</v>
      </c>
      <c r="D19" s="14">
        <f>617638</f>
        <v>617638</v>
      </c>
      <c r="E19" s="14"/>
      <c r="F19" s="14">
        <f t="shared" si="3"/>
        <v>0</v>
      </c>
      <c r="G19" s="14"/>
      <c r="H19" s="14"/>
      <c r="I19" s="14"/>
      <c r="J19" s="14"/>
      <c r="K19" s="14"/>
      <c r="L19" s="14"/>
      <c r="M19" s="14">
        <f t="shared" si="1"/>
        <v>882360.25</v>
      </c>
    </row>
    <row r="20" spans="1:13" ht="15">
      <c r="A20" s="10">
        <v>70806</v>
      </c>
      <c r="B20" s="12" t="s">
        <v>21</v>
      </c>
      <c r="C20" s="14">
        <f>831800+60+21180</f>
        <v>853040</v>
      </c>
      <c r="D20" s="14">
        <f>558288+15560</f>
        <v>573848</v>
      </c>
      <c r="E20" s="14">
        <f>67806</f>
        <v>67806</v>
      </c>
      <c r="F20" s="14">
        <f t="shared" si="3"/>
        <v>457533</v>
      </c>
      <c r="G20" s="14">
        <f>409833</f>
        <v>409833</v>
      </c>
      <c r="H20" s="14">
        <f>137080</f>
        <v>137080</v>
      </c>
      <c r="I20" s="14">
        <f>10142</f>
        <v>10142</v>
      </c>
      <c r="J20" s="14">
        <f>47700</f>
        <v>47700</v>
      </c>
      <c r="K20" s="14"/>
      <c r="L20" s="14"/>
      <c r="M20" s="14">
        <f t="shared" si="1"/>
        <v>1310573</v>
      </c>
    </row>
    <row r="21" spans="1:13" ht="57">
      <c r="A21" s="10">
        <v>70808</v>
      </c>
      <c r="B21" s="12" t="s">
        <v>22</v>
      </c>
      <c r="C21" s="14">
        <f>29022</f>
        <v>29022</v>
      </c>
      <c r="D21" s="14"/>
      <c r="E21" s="14"/>
      <c r="F21" s="14">
        <f t="shared" si="3"/>
        <v>0</v>
      </c>
      <c r="G21" s="14"/>
      <c r="H21" s="14"/>
      <c r="I21" s="14"/>
      <c r="J21" s="14"/>
      <c r="K21" s="14"/>
      <c r="L21" s="14"/>
      <c r="M21" s="14">
        <f t="shared" si="1"/>
        <v>29022</v>
      </c>
    </row>
    <row r="22" spans="1:13" ht="30">
      <c r="A22" s="8">
        <v>90000</v>
      </c>
      <c r="B22" s="21" t="s">
        <v>23</v>
      </c>
      <c r="C22" s="13">
        <f>SUM(C23:C56)</f>
        <v>45779328.47</v>
      </c>
      <c r="D22" s="13">
        <f>SUM(D23:D56)</f>
        <v>1942382</v>
      </c>
      <c r="E22" s="13">
        <f>SUM(E23:E56)</f>
        <v>118359</v>
      </c>
      <c r="F22" s="13">
        <f>G22+J22</f>
        <v>357899</v>
      </c>
      <c r="G22" s="13">
        <f aca="true" t="shared" si="4" ref="G22:L22">SUM(G23:G56)</f>
        <v>33000</v>
      </c>
      <c r="H22" s="13">
        <f t="shared" si="4"/>
        <v>11796</v>
      </c>
      <c r="I22" s="13">
        <f t="shared" si="4"/>
        <v>0</v>
      </c>
      <c r="J22" s="13">
        <f t="shared" si="4"/>
        <v>324899</v>
      </c>
      <c r="K22" s="13">
        <f t="shared" si="4"/>
        <v>319899</v>
      </c>
      <c r="L22" s="13">
        <f t="shared" si="4"/>
        <v>260500</v>
      </c>
      <c r="M22" s="13">
        <f t="shared" si="1"/>
        <v>46137227.47</v>
      </c>
    </row>
    <row r="23" spans="1:14" ht="127.5" customHeight="1">
      <c r="A23" s="10">
        <v>90201</v>
      </c>
      <c r="B23" s="12" t="s">
        <v>85</v>
      </c>
      <c r="C23" s="14">
        <v>4701700</v>
      </c>
      <c r="D23" s="14"/>
      <c r="E23" s="14"/>
      <c r="F23" s="14">
        <f t="shared" si="3"/>
        <v>0</v>
      </c>
      <c r="G23" s="14"/>
      <c r="H23" s="14"/>
      <c r="I23" s="14"/>
      <c r="J23" s="14"/>
      <c r="K23" s="14"/>
      <c r="L23" s="14"/>
      <c r="M23" s="14">
        <f t="shared" si="1"/>
        <v>4701700</v>
      </c>
      <c r="N23" s="3"/>
    </row>
    <row r="24" spans="1:14" ht="113.25" customHeight="1">
      <c r="A24" s="10">
        <v>90202</v>
      </c>
      <c r="B24" s="12" t="s">
        <v>86</v>
      </c>
      <c r="C24" s="14">
        <v>2000</v>
      </c>
      <c r="D24" s="14"/>
      <c r="E24" s="14"/>
      <c r="F24" s="14">
        <f t="shared" si="3"/>
        <v>0</v>
      </c>
      <c r="G24" s="14"/>
      <c r="H24" s="14"/>
      <c r="I24" s="14"/>
      <c r="J24" s="14"/>
      <c r="K24" s="14"/>
      <c r="L24" s="14"/>
      <c r="M24" s="14">
        <f t="shared" si="1"/>
        <v>2000</v>
      </c>
      <c r="N24" s="3"/>
    </row>
    <row r="25" spans="1:14" ht="105.75" customHeight="1">
      <c r="A25" s="10">
        <v>90203</v>
      </c>
      <c r="B25" s="12" t="s">
        <v>87</v>
      </c>
      <c r="C25" s="14">
        <v>69000</v>
      </c>
      <c r="D25" s="14"/>
      <c r="E25" s="14"/>
      <c r="F25" s="14">
        <f t="shared" si="3"/>
        <v>200000</v>
      </c>
      <c r="G25" s="14"/>
      <c r="H25" s="14"/>
      <c r="I25" s="14"/>
      <c r="J25" s="14">
        <f>200000</f>
        <v>200000</v>
      </c>
      <c r="K25" s="14">
        <f>L25</f>
        <v>200000</v>
      </c>
      <c r="L25" s="14">
        <f>200000</f>
        <v>200000</v>
      </c>
      <c r="M25" s="14">
        <f t="shared" si="1"/>
        <v>269000</v>
      </c>
      <c r="N25" s="3"/>
    </row>
    <row r="26" spans="1:14" ht="133.5" customHeight="1">
      <c r="A26" s="10">
        <v>90204</v>
      </c>
      <c r="B26" s="12" t="s">
        <v>88</v>
      </c>
      <c r="C26" s="14">
        <v>1711400</v>
      </c>
      <c r="D26" s="14"/>
      <c r="E26" s="14"/>
      <c r="F26" s="14">
        <f t="shared" si="3"/>
        <v>0</v>
      </c>
      <c r="G26" s="14"/>
      <c r="H26" s="14"/>
      <c r="I26" s="14"/>
      <c r="J26" s="14"/>
      <c r="K26" s="14"/>
      <c r="L26" s="14"/>
      <c r="M26" s="14">
        <f t="shared" si="1"/>
        <v>1711400</v>
      </c>
      <c r="N26" s="3"/>
    </row>
    <row r="27" spans="1:14" ht="63.75" customHeight="1">
      <c r="A27" s="10">
        <v>90207</v>
      </c>
      <c r="B27" s="12" t="s">
        <v>61</v>
      </c>
      <c r="C27" s="14">
        <v>155000</v>
      </c>
      <c r="D27" s="14"/>
      <c r="E27" s="14"/>
      <c r="F27" s="14">
        <f t="shared" si="3"/>
        <v>0</v>
      </c>
      <c r="G27" s="14"/>
      <c r="H27" s="14"/>
      <c r="I27" s="14"/>
      <c r="J27" s="14"/>
      <c r="K27" s="14"/>
      <c r="L27" s="14"/>
      <c r="M27" s="14">
        <f t="shared" si="1"/>
        <v>155000</v>
      </c>
      <c r="N27" s="3"/>
    </row>
    <row r="28" spans="1:14" ht="76.5" customHeight="1">
      <c r="A28" s="10">
        <v>90209</v>
      </c>
      <c r="B28" s="12" t="s">
        <v>73</v>
      </c>
      <c r="C28" s="14">
        <f>1500</f>
        <v>1500</v>
      </c>
      <c r="D28" s="14"/>
      <c r="E28" s="14"/>
      <c r="F28" s="14">
        <f t="shared" si="3"/>
        <v>0</v>
      </c>
      <c r="G28" s="14"/>
      <c r="H28" s="14"/>
      <c r="I28" s="14"/>
      <c r="J28" s="14"/>
      <c r="K28" s="14"/>
      <c r="L28" s="14"/>
      <c r="M28" s="14">
        <f t="shared" si="1"/>
        <v>1500</v>
      </c>
      <c r="N28" s="3"/>
    </row>
    <row r="29" spans="1:14" ht="41.25" customHeight="1">
      <c r="A29" s="10">
        <v>90212</v>
      </c>
      <c r="B29" s="12" t="s">
        <v>60</v>
      </c>
      <c r="C29" s="14">
        <f>10708</f>
        <v>10708</v>
      </c>
      <c r="D29" s="14"/>
      <c r="E29" s="14"/>
      <c r="F29" s="14">
        <f t="shared" si="3"/>
        <v>0</v>
      </c>
      <c r="G29" s="14"/>
      <c r="H29" s="14"/>
      <c r="I29" s="14"/>
      <c r="J29" s="14"/>
      <c r="K29" s="14"/>
      <c r="L29" s="14"/>
      <c r="M29" s="14">
        <f t="shared" si="1"/>
        <v>10708</v>
      </c>
      <c r="N29" s="3"/>
    </row>
    <row r="30" spans="1:14" ht="28.5">
      <c r="A30" s="10">
        <v>90214</v>
      </c>
      <c r="B30" s="12" t="s">
        <v>78</v>
      </c>
      <c r="C30" s="14">
        <f>480000</f>
        <v>480000</v>
      </c>
      <c r="D30" s="14"/>
      <c r="E30" s="14"/>
      <c r="F30" s="14">
        <f t="shared" si="3"/>
        <v>0</v>
      </c>
      <c r="G30" s="14"/>
      <c r="H30" s="14"/>
      <c r="I30" s="14"/>
      <c r="J30" s="14"/>
      <c r="K30" s="14"/>
      <c r="L30" s="14"/>
      <c r="M30" s="14">
        <f t="shared" si="1"/>
        <v>480000</v>
      </c>
      <c r="N30" s="3"/>
    </row>
    <row r="31" spans="1:14" ht="28.5">
      <c r="A31" s="10">
        <v>90215</v>
      </c>
      <c r="B31" s="12" t="s">
        <v>71</v>
      </c>
      <c r="C31" s="14">
        <v>307600</v>
      </c>
      <c r="D31" s="14"/>
      <c r="E31" s="14"/>
      <c r="F31" s="14">
        <f t="shared" si="3"/>
        <v>0</v>
      </c>
      <c r="G31" s="14"/>
      <c r="H31" s="14"/>
      <c r="I31" s="14"/>
      <c r="J31" s="14"/>
      <c r="K31" s="14"/>
      <c r="L31" s="14"/>
      <c r="M31" s="14">
        <f t="shared" si="1"/>
        <v>307600</v>
      </c>
      <c r="N31" s="3"/>
    </row>
    <row r="32" spans="1:14" ht="42.75">
      <c r="A32" s="10">
        <v>90216</v>
      </c>
      <c r="B32" s="12" t="s">
        <v>89</v>
      </c>
      <c r="C32" s="14">
        <f>1000+71.88</f>
        <v>1071.88</v>
      </c>
      <c r="D32" s="14"/>
      <c r="E32" s="14"/>
      <c r="F32" s="14">
        <f t="shared" si="3"/>
        <v>0</v>
      </c>
      <c r="G32" s="14"/>
      <c r="H32" s="14"/>
      <c r="I32" s="14"/>
      <c r="J32" s="14"/>
      <c r="K32" s="14"/>
      <c r="L32" s="14"/>
      <c r="M32" s="14">
        <f t="shared" si="1"/>
        <v>1071.88</v>
      </c>
      <c r="N32" s="3"/>
    </row>
    <row r="33" spans="1:13" ht="28.5">
      <c r="A33" s="10">
        <v>90302</v>
      </c>
      <c r="B33" s="12" t="s">
        <v>63</v>
      </c>
      <c r="C33" s="15">
        <f>312000</f>
        <v>312000</v>
      </c>
      <c r="D33" s="14"/>
      <c r="E33" s="14"/>
      <c r="F33" s="14">
        <f t="shared" si="3"/>
        <v>0</v>
      </c>
      <c r="G33" s="14"/>
      <c r="H33" s="14"/>
      <c r="I33" s="14"/>
      <c r="J33" s="14"/>
      <c r="K33" s="14"/>
      <c r="L33" s="14"/>
      <c r="M33" s="14">
        <f t="shared" si="1"/>
        <v>312000</v>
      </c>
    </row>
    <row r="34" spans="1:13" ht="28.5">
      <c r="A34" s="10">
        <v>90303</v>
      </c>
      <c r="B34" s="12" t="s">
        <v>64</v>
      </c>
      <c r="C34" s="15">
        <f>5160000+75000</f>
        <v>5235000</v>
      </c>
      <c r="D34" s="14"/>
      <c r="E34" s="14"/>
      <c r="F34" s="14">
        <f t="shared" si="3"/>
        <v>0</v>
      </c>
      <c r="G34" s="14"/>
      <c r="H34" s="14"/>
      <c r="I34" s="14"/>
      <c r="J34" s="14"/>
      <c r="K34" s="14"/>
      <c r="L34" s="14"/>
      <c r="M34" s="14">
        <f t="shared" si="1"/>
        <v>5235000</v>
      </c>
    </row>
    <row r="35" spans="1:13" ht="15">
      <c r="A35" s="10">
        <v>90304</v>
      </c>
      <c r="B35" s="12" t="s">
        <v>90</v>
      </c>
      <c r="C35" s="15">
        <f>12000000</f>
        <v>12000000</v>
      </c>
      <c r="D35" s="14"/>
      <c r="E35" s="14"/>
      <c r="F35" s="14">
        <f t="shared" si="3"/>
        <v>0</v>
      </c>
      <c r="G35" s="14"/>
      <c r="H35" s="14"/>
      <c r="I35" s="14"/>
      <c r="J35" s="14"/>
      <c r="K35" s="14"/>
      <c r="L35" s="14"/>
      <c r="M35" s="14">
        <f t="shared" si="1"/>
        <v>12000000</v>
      </c>
    </row>
    <row r="36" spans="1:13" ht="28.5">
      <c r="A36" s="10">
        <v>90305</v>
      </c>
      <c r="B36" s="12" t="s">
        <v>65</v>
      </c>
      <c r="C36" s="15">
        <f>960000+71000</f>
        <v>1031000</v>
      </c>
      <c r="D36" s="14"/>
      <c r="E36" s="14"/>
      <c r="F36" s="14">
        <f t="shared" si="3"/>
        <v>0</v>
      </c>
      <c r="G36" s="14"/>
      <c r="H36" s="14"/>
      <c r="I36" s="14"/>
      <c r="J36" s="14"/>
      <c r="K36" s="14"/>
      <c r="L36" s="14"/>
      <c r="M36" s="14">
        <f t="shared" si="1"/>
        <v>1031000</v>
      </c>
    </row>
    <row r="37" spans="1:13" ht="15">
      <c r="A37" s="10">
        <v>90306</v>
      </c>
      <c r="B37" s="12" t="s">
        <v>66</v>
      </c>
      <c r="C37" s="15">
        <f>1992000+131000</f>
        <v>2123000</v>
      </c>
      <c r="D37" s="14"/>
      <c r="E37" s="14"/>
      <c r="F37" s="14">
        <f t="shared" si="3"/>
        <v>0</v>
      </c>
      <c r="G37" s="14"/>
      <c r="H37" s="14"/>
      <c r="I37" s="14"/>
      <c r="J37" s="14"/>
      <c r="K37" s="14"/>
      <c r="L37" s="14"/>
      <c r="M37" s="14">
        <f t="shared" si="1"/>
        <v>2123000</v>
      </c>
    </row>
    <row r="38" spans="1:13" ht="15">
      <c r="A38" s="10">
        <v>90307</v>
      </c>
      <c r="B38" s="12" t="s">
        <v>67</v>
      </c>
      <c r="C38" s="15">
        <f>456000+14000</f>
        <v>470000</v>
      </c>
      <c r="D38" s="14"/>
      <c r="E38" s="14"/>
      <c r="F38" s="14">
        <f t="shared" si="3"/>
        <v>0</v>
      </c>
      <c r="G38" s="14"/>
      <c r="H38" s="14"/>
      <c r="I38" s="14"/>
      <c r="J38" s="14"/>
      <c r="K38" s="14"/>
      <c r="L38" s="14"/>
      <c r="M38" s="14">
        <f t="shared" si="1"/>
        <v>470000</v>
      </c>
    </row>
    <row r="39" spans="1:13" ht="15">
      <c r="A39" s="10">
        <v>90308</v>
      </c>
      <c r="B39" s="12" t="s">
        <v>96</v>
      </c>
      <c r="C39" s="15">
        <v>8328</v>
      </c>
      <c r="D39" s="14"/>
      <c r="E39" s="14"/>
      <c r="F39" s="14">
        <f>G39+J39</f>
        <v>0</v>
      </c>
      <c r="G39" s="14"/>
      <c r="H39" s="14"/>
      <c r="I39" s="14"/>
      <c r="J39" s="14"/>
      <c r="K39" s="14"/>
      <c r="L39" s="14"/>
      <c r="M39" s="14">
        <f>C39+F39</f>
        <v>8328</v>
      </c>
    </row>
    <row r="40" spans="1:13" ht="28.5">
      <c r="A40" s="10">
        <v>90401</v>
      </c>
      <c r="B40" s="12" t="s">
        <v>68</v>
      </c>
      <c r="C40" s="15">
        <f>873692+109600</f>
        <v>983292</v>
      </c>
      <c r="D40" s="14"/>
      <c r="E40" s="14"/>
      <c r="F40" s="14">
        <f t="shared" si="3"/>
        <v>0</v>
      </c>
      <c r="G40" s="14"/>
      <c r="H40" s="14"/>
      <c r="I40" s="14"/>
      <c r="J40" s="14"/>
      <c r="K40" s="14"/>
      <c r="L40" s="14"/>
      <c r="M40" s="14">
        <f t="shared" si="1"/>
        <v>983292</v>
      </c>
    </row>
    <row r="41" spans="1:13" ht="42.75">
      <c r="A41" s="10">
        <v>90405</v>
      </c>
      <c r="B41" s="12" t="s">
        <v>69</v>
      </c>
      <c r="C41" s="14">
        <v>8200000</v>
      </c>
      <c r="D41" s="14"/>
      <c r="E41" s="14"/>
      <c r="F41" s="14">
        <f t="shared" si="3"/>
        <v>0</v>
      </c>
      <c r="G41" s="14"/>
      <c r="H41" s="14"/>
      <c r="I41" s="14"/>
      <c r="J41" s="14"/>
      <c r="K41" s="14"/>
      <c r="L41" s="14"/>
      <c r="M41" s="14">
        <f aca="true" t="shared" si="5" ref="M41:M71">C41+F41</f>
        <v>8200000</v>
      </c>
    </row>
    <row r="42" spans="1:13" ht="57">
      <c r="A42" s="10">
        <v>90406</v>
      </c>
      <c r="B42" s="12" t="s">
        <v>70</v>
      </c>
      <c r="C42" s="14">
        <f>8000-71.88</f>
        <v>7928.12</v>
      </c>
      <c r="D42" s="14"/>
      <c r="E42" s="14"/>
      <c r="F42" s="14">
        <f t="shared" si="3"/>
        <v>0</v>
      </c>
      <c r="G42" s="14"/>
      <c r="H42" s="14"/>
      <c r="I42" s="14"/>
      <c r="J42" s="14"/>
      <c r="K42" s="14"/>
      <c r="L42" s="14"/>
      <c r="M42" s="14">
        <f t="shared" si="5"/>
        <v>7928.12</v>
      </c>
    </row>
    <row r="43" spans="1:13" ht="28.5">
      <c r="A43" s="10">
        <v>90412</v>
      </c>
      <c r="B43" s="12" t="s">
        <v>24</v>
      </c>
      <c r="C43" s="14">
        <f>85000</f>
        <v>85000</v>
      </c>
      <c r="D43" s="14"/>
      <c r="E43" s="14"/>
      <c r="F43" s="14">
        <f t="shared" si="3"/>
        <v>0</v>
      </c>
      <c r="G43" s="14"/>
      <c r="H43" s="14"/>
      <c r="I43" s="14"/>
      <c r="J43" s="14"/>
      <c r="K43" s="14"/>
      <c r="L43" s="14"/>
      <c r="M43" s="14">
        <f t="shared" si="5"/>
        <v>85000</v>
      </c>
    </row>
    <row r="44" spans="1:13" ht="28.5">
      <c r="A44" s="10">
        <v>90413</v>
      </c>
      <c r="B44" s="12" t="s">
        <v>62</v>
      </c>
      <c r="C44" s="14">
        <f>36634+316900</f>
        <v>353534</v>
      </c>
      <c r="D44" s="14"/>
      <c r="E44" s="14"/>
      <c r="F44" s="14">
        <f t="shared" si="3"/>
        <v>0</v>
      </c>
      <c r="G44" s="14"/>
      <c r="H44" s="14"/>
      <c r="I44" s="14"/>
      <c r="J44" s="14"/>
      <c r="K44" s="14"/>
      <c r="L44" s="14"/>
      <c r="M44" s="14">
        <f t="shared" si="5"/>
        <v>353534</v>
      </c>
    </row>
    <row r="45" spans="1:13" ht="73.5" customHeight="1">
      <c r="A45" s="10">
        <v>90414</v>
      </c>
      <c r="B45" s="12" t="s">
        <v>97</v>
      </c>
      <c r="C45" s="14">
        <v>1800</v>
      </c>
      <c r="D45" s="15"/>
      <c r="E45" s="15"/>
      <c r="F45" s="15">
        <f t="shared" si="3"/>
        <v>0</v>
      </c>
      <c r="G45" s="15"/>
      <c r="H45" s="15"/>
      <c r="I45" s="15"/>
      <c r="J45" s="15"/>
      <c r="K45" s="15"/>
      <c r="L45" s="15"/>
      <c r="M45" s="15">
        <f t="shared" si="5"/>
        <v>1800</v>
      </c>
    </row>
    <row r="46" spans="1:13" ht="28.5">
      <c r="A46" s="10">
        <v>90417</v>
      </c>
      <c r="B46" s="12" t="s">
        <v>91</v>
      </c>
      <c r="C46" s="14">
        <f>35149</f>
        <v>35149</v>
      </c>
      <c r="D46" s="14"/>
      <c r="E46" s="14"/>
      <c r="F46" s="14">
        <f t="shared" si="3"/>
        <v>0</v>
      </c>
      <c r="G46" s="14"/>
      <c r="H46" s="14"/>
      <c r="I46" s="14"/>
      <c r="J46" s="14"/>
      <c r="K46" s="14"/>
      <c r="L46" s="14"/>
      <c r="M46" s="14">
        <f t="shared" si="5"/>
        <v>35149</v>
      </c>
    </row>
    <row r="47" spans="1:13" ht="28.5">
      <c r="A47" s="10">
        <v>91101</v>
      </c>
      <c r="B47" s="12" t="s">
        <v>25</v>
      </c>
      <c r="C47" s="14">
        <f>164811+400+279800-60500</f>
        <v>384511</v>
      </c>
      <c r="D47" s="18">
        <f>116149+132000</f>
        <v>248149</v>
      </c>
      <c r="E47" s="14">
        <f>4615+21240</f>
        <v>25855</v>
      </c>
      <c r="F47" s="14">
        <f t="shared" si="3"/>
        <v>60500</v>
      </c>
      <c r="G47" s="14"/>
      <c r="H47" s="14"/>
      <c r="I47" s="14"/>
      <c r="J47" s="14">
        <f>60500</f>
        <v>60500</v>
      </c>
      <c r="K47" s="14">
        <f>60500</f>
        <v>60500</v>
      </c>
      <c r="L47" s="14">
        <f>60500</f>
        <v>60500</v>
      </c>
      <c r="M47" s="14">
        <f t="shared" si="5"/>
        <v>445011</v>
      </c>
    </row>
    <row r="48" spans="1:13" ht="28.5">
      <c r="A48" s="10">
        <v>91102</v>
      </c>
      <c r="B48" s="12" t="s">
        <v>26</v>
      </c>
      <c r="C48" s="14">
        <f>7290</f>
        <v>7290</v>
      </c>
      <c r="D48" s="14"/>
      <c r="E48" s="14"/>
      <c r="F48" s="14">
        <f t="shared" si="3"/>
        <v>0</v>
      </c>
      <c r="G48" s="14"/>
      <c r="H48" s="14"/>
      <c r="I48" s="14"/>
      <c r="J48" s="14"/>
      <c r="K48" s="14"/>
      <c r="L48" s="14"/>
      <c r="M48" s="14">
        <f t="shared" si="5"/>
        <v>7290</v>
      </c>
    </row>
    <row r="49" spans="1:13" ht="28.5">
      <c r="A49" s="10">
        <v>91103</v>
      </c>
      <c r="B49" s="12" t="s">
        <v>27</v>
      </c>
      <c r="C49" s="14">
        <f>65610+2704.59</f>
        <v>68314.59</v>
      </c>
      <c r="D49" s="14"/>
      <c r="E49" s="14"/>
      <c r="F49" s="14">
        <f t="shared" si="3"/>
        <v>0</v>
      </c>
      <c r="G49" s="14"/>
      <c r="H49" s="14"/>
      <c r="I49" s="14"/>
      <c r="J49" s="14"/>
      <c r="K49" s="14"/>
      <c r="L49" s="14"/>
      <c r="M49" s="14">
        <f t="shared" si="5"/>
        <v>68314.59</v>
      </c>
    </row>
    <row r="50" spans="1:16" ht="15">
      <c r="A50" s="10">
        <v>91106</v>
      </c>
      <c r="B50" s="12" t="s">
        <v>28</v>
      </c>
      <c r="C50" s="14">
        <f>406327+543+5600</f>
        <v>412470</v>
      </c>
      <c r="D50" s="14">
        <f>290435+4100</f>
        <v>294535</v>
      </c>
      <c r="E50" s="14">
        <f>20159</f>
        <v>20159</v>
      </c>
      <c r="F50" s="14">
        <f t="shared" si="3"/>
        <v>13000</v>
      </c>
      <c r="G50" s="14">
        <f>13000</f>
        <v>13000</v>
      </c>
      <c r="H50" s="14">
        <f>5796</f>
        <v>5796</v>
      </c>
      <c r="I50" s="14"/>
      <c r="J50" s="14"/>
      <c r="K50" s="14"/>
      <c r="L50" s="14"/>
      <c r="M50" s="14">
        <f t="shared" si="5"/>
        <v>425470</v>
      </c>
      <c r="P50">
        <f>160436+140013+105878</f>
        <v>406327</v>
      </c>
    </row>
    <row r="51" spans="1:13" ht="81.75" customHeight="1">
      <c r="A51" s="10">
        <v>91108</v>
      </c>
      <c r="B51" s="17" t="s">
        <v>56</v>
      </c>
      <c r="C51" s="14">
        <f>50524+37000+956</f>
        <v>88480</v>
      </c>
      <c r="D51" s="14"/>
      <c r="E51" s="14"/>
      <c r="F51" s="14">
        <f t="shared" si="3"/>
        <v>0</v>
      </c>
      <c r="G51" s="14"/>
      <c r="H51" s="14"/>
      <c r="I51" s="14"/>
      <c r="J51" s="14"/>
      <c r="K51" s="14"/>
      <c r="L51" s="14"/>
      <c r="M51" s="14">
        <f t="shared" si="5"/>
        <v>88480</v>
      </c>
    </row>
    <row r="52" spans="1:13" ht="42.75">
      <c r="A52" s="10">
        <v>91204</v>
      </c>
      <c r="B52" s="12" t="s">
        <v>92</v>
      </c>
      <c r="C52" s="15">
        <f>1746786+816.88</f>
        <v>1747602.88</v>
      </c>
      <c r="D52" s="15">
        <f>1132405</f>
        <v>1132405</v>
      </c>
      <c r="E52" s="15">
        <f>43111</f>
        <v>43111</v>
      </c>
      <c r="F52" s="15">
        <f t="shared" si="3"/>
        <v>84399</v>
      </c>
      <c r="G52" s="14">
        <f>20000</f>
        <v>20000</v>
      </c>
      <c r="H52" s="14">
        <f>6000</f>
        <v>6000</v>
      </c>
      <c r="I52" s="14"/>
      <c r="J52" s="14">
        <f>5000+59399</f>
        <v>64399</v>
      </c>
      <c r="K52" s="15">
        <f>59399</f>
        <v>59399</v>
      </c>
      <c r="L52" s="15"/>
      <c r="M52" s="14">
        <f t="shared" si="5"/>
        <v>1832001.88</v>
      </c>
    </row>
    <row r="53" spans="1:13" ht="28.5">
      <c r="A53" s="10">
        <v>91206</v>
      </c>
      <c r="B53" s="12" t="s">
        <v>93</v>
      </c>
      <c r="C53" s="14">
        <f>427545</f>
        <v>427545</v>
      </c>
      <c r="D53" s="14">
        <f>267293</f>
        <v>267293</v>
      </c>
      <c r="E53" s="14">
        <f>20124+9110</f>
        <v>29234</v>
      </c>
      <c r="F53" s="14">
        <f t="shared" si="3"/>
        <v>0</v>
      </c>
      <c r="G53" s="14"/>
      <c r="H53" s="14"/>
      <c r="I53" s="14"/>
      <c r="J53" s="14"/>
      <c r="K53" s="14"/>
      <c r="L53" s="14"/>
      <c r="M53" s="14">
        <f t="shared" si="5"/>
        <v>427545</v>
      </c>
    </row>
    <row r="54" spans="1:13" ht="42.75">
      <c r="A54" s="10">
        <v>91300</v>
      </c>
      <c r="B54" s="12" t="s">
        <v>74</v>
      </c>
      <c r="C54" s="14">
        <f>4261800+71000</f>
        <v>4332800</v>
      </c>
      <c r="D54" s="14"/>
      <c r="E54" s="14"/>
      <c r="F54" s="14">
        <f t="shared" si="3"/>
        <v>0</v>
      </c>
      <c r="G54" s="14"/>
      <c r="H54" s="14"/>
      <c r="I54" s="14"/>
      <c r="J54" s="14"/>
      <c r="K54" s="14"/>
      <c r="L54" s="14"/>
      <c r="M54" s="14">
        <f t="shared" si="5"/>
        <v>4332800</v>
      </c>
    </row>
    <row r="55" spans="1:13" ht="59.25" customHeight="1">
      <c r="A55" s="10">
        <v>91303</v>
      </c>
      <c r="B55" s="12" t="s">
        <v>75</v>
      </c>
      <c r="C55" s="14">
        <f>17344</f>
        <v>17344</v>
      </c>
      <c r="D55" s="14"/>
      <c r="E55" s="14"/>
      <c r="F55" s="14">
        <f t="shared" si="3"/>
        <v>0</v>
      </c>
      <c r="G55" s="14"/>
      <c r="H55" s="14"/>
      <c r="I55" s="14"/>
      <c r="J55" s="14"/>
      <c r="K55" s="14"/>
      <c r="L55" s="14"/>
      <c r="M55" s="14">
        <f t="shared" si="5"/>
        <v>17344</v>
      </c>
    </row>
    <row r="56" spans="1:13" ht="28.5">
      <c r="A56" s="10">
        <v>91304</v>
      </c>
      <c r="B56" s="12" t="s">
        <v>76</v>
      </c>
      <c r="C56" s="14">
        <f>6960</f>
        <v>6960</v>
      </c>
      <c r="D56" s="14"/>
      <c r="E56" s="14"/>
      <c r="F56" s="14">
        <f t="shared" si="3"/>
        <v>0</v>
      </c>
      <c r="G56" s="14"/>
      <c r="H56" s="14"/>
      <c r="I56" s="14"/>
      <c r="J56" s="14"/>
      <c r="K56" s="14"/>
      <c r="L56" s="14"/>
      <c r="M56" s="14">
        <f t="shared" si="5"/>
        <v>6960</v>
      </c>
    </row>
    <row r="57" spans="1:13" ht="30">
      <c r="A57" s="8">
        <v>100000</v>
      </c>
      <c r="B57" s="21" t="s">
        <v>29</v>
      </c>
      <c r="C57" s="13">
        <f>SUM(C58:C60)</f>
        <v>3350000</v>
      </c>
      <c r="D57" s="13">
        <f>SUM(D58:D60)</f>
        <v>0</v>
      </c>
      <c r="E57" s="13">
        <f>SUM(E58:E60)</f>
        <v>0</v>
      </c>
      <c r="F57" s="13">
        <f>G57+J57</f>
        <v>582274</v>
      </c>
      <c r="G57" s="13">
        <f aca="true" t="shared" si="6" ref="G57:L57">SUM(G58:G60)</f>
        <v>0</v>
      </c>
      <c r="H57" s="13">
        <f t="shared" si="6"/>
        <v>0</v>
      </c>
      <c r="I57" s="13">
        <f t="shared" si="6"/>
        <v>0</v>
      </c>
      <c r="J57" s="13">
        <f t="shared" si="6"/>
        <v>582274</v>
      </c>
      <c r="K57" s="13">
        <f t="shared" si="6"/>
        <v>458566</v>
      </c>
      <c r="L57" s="13">
        <f t="shared" si="6"/>
        <v>48319</v>
      </c>
      <c r="M57" s="13">
        <f t="shared" si="5"/>
        <v>3932274</v>
      </c>
    </row>
    <row r="58" spans="1:13" s="3" customFormat="1" ht="28.5">
      <c r="A58" s="10">
        <v>100102</v>
      </c>
      <c r="B58" s="12" t="s">
        <v>103</v>
      </c>
      <c r="C58" s="14"/>
      <c r="D58" s="14"/>
      <c r="E58" s="14"/>
      <c r="F58" s="14">
        <f t="shared" si="3"/>
        <v>48319</v>
      </c>
      <c r="G58" s="14"/>
      <c r="H58" s="14"/>
      <c r="I58" s="14"/>
      <c r="J58" s="14">
        <f>48319</f>
        <v>48319</v>
      </c>
      <c r="K58" s="14">
        <f>48319</f>
        <v>48319</v>
      </c>
      <c r="L58" s="14">
        <f>48319</f>
        <v>48319</v>
      </c>
      <c r="M58" s="14">
        <f t="shared" si="5"/>
        <v>48319</v>
      </c>
    </row>
    <row r="59" spans="1:13" s="3" customFormat="1" ht="28.5">
      <c r="A59" s="10">
        <v>100202</v>
      </c>
      <c r="B59" s="12" t="s">
        <v>107</v>
      </c>
      <c r="C59" s="14"/>
      <c r="D59" s="14"/>
      <c r="E59" s="14"/>
      <c r="F59" s="14">
        <f t="shared" si="3"/>
        <v>498660</v>
      </c>
      <c r="G59" s="14"/>
      <c r="H59" s="14"/>
      <c r="I59" s="14"/>
      <c r="J59" s="14">
        <f>86300+288652+123708</f>
        <v>498660</v>
      </c>
      <c r="K59" s="14">
        <f>86300+288652</f>
        <v>374952</v>
      </c>
      <c r="L59" s="14"/>
      <c r="M59" s="14">
        <f t="shared" si="5"/>
        <v>498660</v>
      </c>
    </row>
    <row r="60" spans="1:13" ht="15">
      <c r="A60" s="10">
        <v>100203</v>
      </c>
      <c r="B60" s="12" t="s">
        <v>30</v>
      </c>
      <c r="C60" s="14">
        <f>3350000</f>
        <v>3350000</v>
      </c>
      <c r="D60" s="14"/>
      <c r="E60" s="14"/>
      <c r="F60" s="14">
        <f t="shared" si="3"/>
        <v>35295</v>
      </c>
      <c r="G60" s="14"/>
      <c r="H60" s="14"/>
      <c r="I60" s="14"/>
      <c r="J60" s="14">
        <f>35295</f>
        <v>35295</v>
      </c>
      <c r="K60" s="14">
        <f>35295</f>
        <v>35295</v>
      </c>
      <c r="L60" s="14"/>
      <c r="M60" s="14">
        <f t="shared" si="5"/>
        <v>3385295</v>
      </c>
    </row>
    <row r="61" spans="1:13" ht="15">
      <c r="A61" s="8">
        <v>110000</v>
      </c>
      <c r="B61" s="21" t="s">
        <v>31</v>
      </c>
      <c r="C61" s="13">
        <f>SUM(C62:C66)</f>
        <v>3593059</v>
      </c>
      <c r="D61" s="13">
        <f>SUM(D62:D66)</f>
        <v>2436562</v>
      </c>
      <c r="E61" s="13">
        <f>SUM(E62:E66)</f>
        <v>139694</v>
      </c>
      <c r="F61" s="13">
        <f>G61+J61</f>
        <v>359825</v>
      </c>
      <c r="G61" s="13">
        <f aca="true" t="shared" si="7" ref="G61:L61">SUM(G62:G66)</f>
        <v>273500</v>
      </c>
      <c r="H61" s="13">
        <f t="shared" si="7"/>
        <v>126400</v>
      </c>
      <c r="I61" s="13">
        <f t="shared" si="7"/>
        <v>3945</v>
      </c>
      <c r="J61" s="13">
        <f t="shared" si="7"/>
        <v>86325</v>
      </c>
      <c r="K61" s="13">
        <f t="shared" si="7"/>
        <v>20825</v>
      </c>
      <c r="L61" s="13">
        <f t="shared" si="7"/>
        <v>0</v>
      </c>
      <c r="M61" s="13">
        <f t="shared" si="5"/>
        <v>3952884</v>
      </c>
    </row>
    <row r="62" spans="1:13" ht="15">
      <c r="A62" s="10">
        <v>110201</v>
      </c>
      <c r="B62" s="12" t="s">
        <v>32</v>
      </c>
      <c r="C62" s="14">
        <f>236616+2173</f>
        <v>238789</v>
      </c>
      <c r="D62" s="14">
        <f>152640+1595</f>
        <v>154235</v>
      </c>
      <c r="E62" s="14">
        <f>28568</f>
        <v>28568</v>
      </c>
      <c r="F62" s="14">
        <f t="shared" si="3"/>
        <v>20454</v>
      </c>
      <c r="G62" s="14">
        <v>5000</v>
      </c>
      <c r="H62" s="14"/>
      <c r="I62" s="14"/>
      <c r="J62" s="14">
        <f>3454+12000</f>
        <v>15454</v>
      </c>
      <c r="K62" s="14">
        <f>3454+12000</f>
        <v>15454</v>
      </c>
      <c r="L62" s="14"/>
      <c r="M62" s="14">
        <f t="shared" si="5"/>
        <v>259243</v>
      </c>
    </row>
    <row r="63" spans="1:13" ht="15">
      <c r="A63" s="10">
        <v>110202</v>
      </c>
      <c r="B63" s="12" t="s">
        <v>33</v>
      </c>
      <c r="C63" s="14">
        <f>67696+3060</f>
        <v>70756</v>
      </c>
      <c r="D63" s="14">
        <f>49063+2250</f>
        <v>51313</v>
      </c>
      <c r="E63" s="14">
        <f>823</f>
        <v>823</v>
      </c>
      <c r="F63" s="14">
        <f t="shared" si="3"/>
        <v>5000</v>
      </c>
      <c r="G63" s="14">
        <f>5000</f>
        <v>5000</v>
      </c>
      <c r="H63" s="14"/>
      <c r="I63" s="14"/>
      <c r="J63" s="14"/>
      <c r="K63" s="14"/>
      <c r="L63" s="14"/>
      <c r="M63" s="14">
        <f t="shared" si="5"/>
        <v>75756</v>
      </c>
    </row>
    <row r="64" spans="1:13" ht="28.5">
      <c r="A64" s="10">
        <v>110204</v>
      </c>
      <c r="B64" s="12" t="s">
        <v>34</v>
      </c>
      <c r="C64" s="14">
        <f>247212+16316</f>
        <v>263528</v>
      </c>
      <c r="D64" s="14">
        <f>176241+11970</f>
        <v>188211</v>
      </c>
      <c r="E64" s="14">
        <f>6995</f>
        <v>6995</v>
      </c>
      <c r="F64" s="14">
        <f t="shared" si="3"/>
        <v>86000</v>
      </c>
      <c r="G64" s="14">
        <f>54500</f>
        <v>54500</v>
      </c>
      <c r="H64" s="14">
        <f>7400</f>
        <v>7400</v>
      </c>
      <c r="I64" s="14">
        <f>3945</f>
        <v>3945</v>
      </c>
      <c r="J64" s="14">
        <f>31500</f>
        <v>31500</v>
      </c>
      <c r="K64" s="14"/>
      <c r="L64" s="14"/>
      <c r="M64" s="14">
        <f t="shared" si="5"/>
        <v>349528</v>
      </c>
    </row>
    <row r="65" spans="1:13" ht="15">
      <c r="A65" s="10">
        <v>110205</v>
      </c>
      <c r="B65" s="12" t="s">
        <v>35</v>
      </c>
      <c r="C65" s="14">
        <f>2115347+5345+63347</f>
        <v>2184039</v>
      </c>
      <c r="D65" s="14">
        <f>1487468+46400</f>
        <v>1533868</v>
      </c>
      <c r="E65" s="14">
        <f>87929+7115+5345</f>
        <v>100389</v>
      </c>
      <c r="F65" s="14">
        <f t="shared" si="3"/>
        <v>233371</v>
      </c>
      <c r="G65" s="14">
        <f>197000</f>
        <v>197000</v>
      </c>
      <c r="H65" s="14">
        <f>119000</f>
        <v>119000</v>
      </c>
      <c r="I65" s="14"/>
      <c r="J65" s="14">
        <f>31000+5371</f>
        <v>36371</v>
      </c>
      <c r="K65" s="14">
        <f>5371</f>
        <v>5371</v>
      </c>
      <c r="L65" s="14"/>
      <c r="M65" s="14">
        <f t="shared" si="5"/>
        <v>2417410</v>
      </c>
    </row>
    <row r="66" spans="1:17" ht="28.5">
      <c r="A66" s="10">
        <v>110502</v>
      </c>
      <c r="B66" s="12" t="s">
        <v>36</v>
      </c>
      <c r="C66" s="14">
        <f>832677+3270</f>
        <v>835947</v>
      </c>
      <c r="D66" s="14">
        <f>506535+2400</f>
        <v>508935</v>
      </c>
      <c r="E66" s="14">
        <f>2919</f>
        <v>2919</v>
      </c>
      <c r="F66" s="14">
        <f t="shared" si="3"/>
        <v>15000</v>
      </c>
      <c r="G66" s="14">
        <f>12000</f>
        <v>12000</v>
      </c>
      <c r="H66" s="14"/>
      <c r="I66" s="14"/>
      <c r="J66" s="14">
        <f>3000</f>
        <v>3000</v>
      </c>
      <c r="K66" s="14"/>
      <c r="L66" s="14"/>
      <c r="M66" s="14">
        <f t="shared" si="5"/>
        <v>850947</v>
      </c>
      <c r="Q66" s="16"/>
    </row>
    <row r="67" spans="1:13" ht="15">
      <c r="A67" s="8">
        <v>120000</v>
      </c>
      <c r="B67" s="21" t="s">
        <v>37</v>
      </c>
      <c r="C67" s="13">
        <f>SUM(C68:C69)</f>
        <v>200000</v>
      </c>
      <c r="D67" s="13">
        <f>SUM(D68:D69)</f>
        <v>0</v>
      </c>
      <c r="E67" s="13">
        <f>SUM(E68:E69)</f>
        <v>0</v>
      </c>
      <c r="F67" s="13">
        <f>G67+J67</f>
        <v>10000</v>
      </c>
      <c r="G67" s="13">
        <f aca="true" t="shared" si="8" ref="G67:L67">SUM(G68:G69)</f>
        <v>0</v>
      </c>
      <c r="H67" s="13">
        <f t="shared" si="8"/>
        <v>0</v>
      </c>
      <c r="I67" s="13">
        <f t="shared" si="8"/>
        <v>0</v>
      </c>
      <c r="J67" s="13">
        <f t="shared" si="8"/>
        <v>10000</v>
      </c>
      <c r="K67" s="13">
        <f t="shared" si="8"/>
        <v>10000</v>
      </c>
      <c r="L67" s="13">
        <f t="shared" si="8"/>
        <v>0</v>
      </c>
      <c r="M67" s="13">
        <f t="shared" si="5"/>
        <v>210000</v>
      </c>
    </row>
    <row r="68" spans="1:13" ht="15">
      <c r="A68" s="10">
        <v>120100</v>
      </c>
      <c r="B68" s="12" t="s">
        <v>38</v>
      </c>
      <c r="C68" s="14">
        <f>60000</f>
        <v>60000</v>
      </c>
      <c r="D68" s="14"/>
      <c r="E68" s="14"/>
      <c r="F68" s="14">
        <f t="shared" si="3"/>
        <v>10000</v>
      </c>
      <c r="G68" s="14"/>
      <c r="H68" s="14"/>
      <c r="I68" s="14"/>
      <c r="J68" s="14">
        <f>10000</f>
        <v>10000</v>
      </c>
      <c r="K68" s="14">
        <f>10000</f>
        <v>10000</v>
      </c>
      <c r="L68" s="14"/>
      <c r="M68" s="14">
        <f t="shared" si="5"/>
        <v>70000</v>
      </c>
    </row>
    <row r="69" spans="1:13" ht="28.5">
      <c r="A69" s="10">
        <v>120201</v>
      </c>
      <c r="B69" s="12" t="s">
        <v>39</v>
      </c>
      <c r="C69" s="14">
        <f>140000</f>
        <v>140000</v>
      </c>
      <c r="D69" s="14"/>
      <c r="E69" s="14"/>
      <c r="F69" s="14">
        <f t="shared" si="3"/>
        <v>0</v>
      </c>
      <c r="G69" s="14"/>
      <c r="H69" s="14"/>
      <c r="I69" s="14"/>
      <c r="J69" s="14"/>
      <c r="K69" s="14"/>
      <c r="L69" s="14"/>
      <c r="M69" s="14">
        <f t="shared" si="5"/>
        <v>140000</v>
      </c>
    </row>
    <row r="70" spans="1:13" ht="15">
      <c r="A70" s="8">
        <v>130000</v>
      </c>
      <c r="B70" s="21" t="s">
        <v>40</v>
      </c>
      <c r="C70" s="13">
        <f>SUM(C71:C72)</f>
        <v>940957.93</v>
      </c>
      <c r="D70" s="13">
        <f>SUM(D71:D72)</f>
        <v>534421</v>
      </c>
      <c r="E70" s="13">
        <f>SUM(E71:E72)</f>
        <v>91921</v>
      </c>
      <c r="F70" s="13">
        <f>G70+J70</f>
        <v>120000</v>
      </c>
      <c r="G70" s="13">
        <f aca="true" t="shared" si="9" ref="G70:L70">SUM(G71:G72)</f>
        <v>0</v>
      </c>
      <c r="H70" s="13">
        <f t="shared" si="9"/>
        <v>0</v>
      </c>
      <c r="I70" s="13">
        <f t="shared" si="9"/>
        <v>0</v>
      </c>
      <c r="J70" s="13">
        <f t="shared" si="9"/>
        <v>120000</v>
      </c>
      <c r="K70" s="13">
        <f t="shared" si="9"/>
        <v>120000</v>
      </c>
      <c r="L70" s="13">
        <f t="shared" si="9"/>
        <v>0</v>
      </c>
      <c r="M70" s="13">
        <f t="shared" si="5"/>
        <v>1060957.9300000002</v>
      </c>
    </row>
    <row r="71" spans="1:13" ht="28.5">
      <c r="A71" s="10">
        <v>130102</v>
      </c>
      <c r="B71" s="12" t="s">
        <v>41</v>
      </c>
      <c r="C71" s="14">
        <f>100000+5309.01</f>
        <v>105309.01</v>
      </c>
      <c r="D71" s="14"/>
      <c r="E71" s="14"/>
      <c r="F71" s="14">
        <f t="shared" si="3"/>
        <v>0</v>
      </c>
      <c r="G71" s="14"/>
      <c r="H71" s="14"/>
      <c r="I71" s="14"/>
      <c r="J71" s="14"/>
      <c r="K71" s="14"/>
      <c r="L71" s="14"/>
      <c r="M71" s="14">
        <f t="shared" si="5"/>
        <v>105309.01</v>
      </c>
    </row>
    <row r="72" spans="1:13" ht="42.75">
      <c r="A72" s="10">
        <v>130107</v>
      </c>
      <c r="B72" s="12" t="s">
        <v>95</v>
      </c>
      <c r="C72" s="14">
        <f>804308-1+6627.92+5920+18794</f>
        <v>835648.92</v>
      </c>
      <c r="D72" s="14">
        <f>520621+13800</f>
        <v>534421</v>
      </c>
      <c r="E72" s="14">
        <f>86001+5920</f>
        <v>91921</v>
      </c>
      <c r="F72" s="14">
        <f t="shared" si="3"/>
        <v>120000</v>
      </c>
      <c r="G72" s="14"/>
      <c r="H72" s="14"/>
      <c r="I72" s="14"/>
      <c r="J72" s="14">
        <f>120000</f>
        <v>120000</v>
      </c>
      <c r="K72" s="14">
        <f>120000</f>
        <v>120000</v>
      </c>
      <c r="L72" s="14"/>
      <c r="M72" s="14">
        <f aca="true" t="shared" si="10" ref="M72:M97">C72+F72</f>
        <v>955648.92</v>
      </c>
    </row>
    <row r="73" spans="1:13" ht="15">
      <c r="A73" s="8">
        <v>150000</v>
      </c>
      <c r="B73" s="21" t="s">
        <v>83</v>
      </c>
      <c r="C73" s="13">
        <f aca="true" t="shared" si="11" ref="C73:L73">SUM(C74:C75)</f>
        <v>0</v>
      </c>
      <c r="D73" s="13">
        <f t="shared" si="11"/>
        <v>0</v>
      </c>
      <c r="E73" s="13">
        <f t="shared" si="11"/>
        <v>0</v>
      </c>
      <c r="F73" s="13">
        <f t="shared" si="11"/>
        <v>1338935.02</v>
      </c>
      <c r="G73" s="13">
        <f t="shared" si="11"/>
        <v>0</v>
      </c>
      <c r="H73" s="13">
        <f t="shared" si="11"/>
        <v>0</v>
      </c>
      <c r="I73" s="13">
        <f t="shared" si="11"/>
        <v>0</v>
      </c>
      <c r="J73" s="13">
        <f t="shared" si="11"/>
        <v>1338935.02</v>
      </c>
      <c r="K73" s="13">
        <f t="shared" si="11"/>
        <v>1338935.02</v>
      </c>
      <c r="L73" s="13">
        <f t="shared" si="11"/>
        <v>0</v>
      </c>
      <c r="M73" s="13">
        <f t="shared" si="10"/>
        <v>1338935.02</v>
      </c>
    </row>
    <row r="74" spans="1:13" ht="15">
      <c r="A74" s="10">
        <v>150101</v>
      </c>
      <c r="B74" s="12" t="s">
        <v>84</v>
      </c>
      <c r="C74" s="14"/>
      <c r="D74" s="14"/>
      <c r="E74" s="14"/>
      <c r="F74" s="14">
        <f>G74+J74</f>
        <v>842338.03</v>
      </c>
      <c r="G74" s="14"/>
      <c r="H74" s="14"/>
      <c r="I74" s="14"/>
      <c r="J74" s="14">
        <f>2199005+220000+235590-220000-590395.06-105245-800000-85129.94-12000-188305-10000-86300+123468.03+161650</f>
        <v>842338.03</v>
      </c>
      <c r="K74" s="14">
        <f>2199005+220000+235590-220000-590395.06-105245-800000-85129.94-12000-188305-10000-86300+123468.03+161650</f>
        <v>842338.03</v>
      </c>
      <c r="L74" s="14"/>
      <c r="M74" s="14">
        <f t="shared" si="10"/>
        <v>842338.03</v>
      </c>
    </row>
    <row r="75" spans="1:13" ht="28.5">
      <c r="A75" s="10">
        <v>150202</v>
      </c>
      <c r="B75" s="12" t="s">
        <v>100</v>
      </c>
      <c r="C75" s="14"/>
      <c r="D75" s="14"/>
      <c r="E75" s="14"/>
      <c r="F75" s="14">
        <f>G75+J75</f>
        <v>496596.99</v>
      </c>
      <c r="G75" s="14"/>
      <c r="H75" s="14"/>
      <c r="I75" s="14"/>
      <c r="J75" s="14">
        <f>57592+188305+85129.94+25570.05+75000+65000</f>
        <v>496596.99</v>
      </c>
      <c r="K75" s="14">
        <f>57592+188305+85129.94+25570.05+75000+65000</f>
        <v>496596.99</v>
      </c>
      <c r="L75" s="14"/>
      <c r="M75" s="14">
        <f t="shared" si="10"/>
        <v>496596.99</v>
      </c>
    </row>
    <row r="76" spans="1:13" ht="47.25" customHeight="1">
      <c r="A76" s="8">
        <v>170000</v>
      </c>
      <c r="B76" s="21" t="s">
        <v>42</v>
      </c>
      <c r="C76" s="13">
        <f>SUM(C77:C79)</f>
        <v>1383900</v>
      </c>
      <c r="D76" s="13">
        <f>SUM(D77:D79)</f>
        <v>0</v>
      </c>
      <c r="E76" s="13">
        <f>SUM(E77:E79)</f>
        <v>0</v>
      </c>
      <c r="F76" s="13">
        <f>G76+J76</f>
        <v>3939779</v>
      </c>
      <c r="G76" s="13">
        <f aca="true" t="shared" si="12" ref="G76:L76">SUM(G77:G79)</f>
        <v>1841510.2</v>
      </c>
      <c r="H76" s="13">
        <f t="shared" si="12"/>
        <v>0</v>
      </c>
      <c r="I76" s="13">
        <f t="shared" si="12"/>
        <v>0</v>
      </c>
      <c r="J76" s="13">
        <f t="shared" si="12"/>
        <v>2098268.8</v>
      </c>
      <c r="K76" s="13">
        <f t="shared" si="12"/>
        <v>0</v>
      </c>
      <c r="L76" s="13">
        <f t="shared" si="12"/>
        <v>0</v>
      </c>
      <c r="M76" s="13">
        <f t="shared" si="10"/>
        <v>5323679</v>
      </c>
    </row>
    <row r="77" spans="1:13" ht="42.75">
      <c r="A77" s="10">
        <v>170102</v>
      </c>
      <c r="B77" s="12" t="s">
        <v>43</v>
      </c>
      <c r="C77" s="14">
        <f>36000+1284900+13000</f>
        <v>1333900</v>
      </c>
      <c r="D77" s="14"/>
      <c r="E77" s="14"/>
      <c r="F77" s="14">
        <f aca="true" t="shared" si="13" ref="F77:F92">G77+J77</f>
        <v>0</v>
      </c>
      <c r="G77" s="14"/>
      <c r="H77" s="14"/>
      <c r="I77" s="14"/>
      <c r="J77" s="14"/>
      <c r="K77" s="14"/>
      <c r="L77" s="14"/>
      <c r="M77" s="14">
        <f t="shared" si="10"/>
        <v>1333900</v>
      </c>
    </row>
    <row r="78" spans="1:13" ht="48" customHeight="1">
      <c r="A78" s="10">
        <v>170302</v>
      </c>
      <c r="B78" s="12" t="s">
        <v>77</v>
      </c>
      <c r="C78" s="14">
        <f>50000</f>
        <v>50000</v>
      </c>
      <c r="D78" s="14"/>
      <c r="E78" s="14"/>
      <c r="F78" s="14">
        <f t="shared" si="13"/>
        <v>0</v>
      </c>
      <c r="G78" s="14"/>
      <c r="H78" s="14"/>
      <c r="I78" s="14"/>
      <c r="J78" s="14"/>
      <c r="K78" s="14"/>
      <c r="L78" s="14"/>
      <c r="M78" s="14">
        <f t="shared" si="10"/>
        <v>50000</v>
      </c>
    </row>
    <row r="79" spans="1:13" ht="57">
      <c r="A79" s="10">
        <v>170703</v>
      </c>
      <c r="B79" s="12" t="s">
        <v>44</v>
      </c>
      <c r="C79" s="14"/>
      <c r="D79" s="14"/>
      <c r="E79" s="14"/>
      <c r="F79" s="14">
        <f t="shared" si="13"/>
        <v>3939779</v>
      </c>
      <c r="G79" s="18">
        <f>2169000+323400+46000-1475900+47179+468431.2+263400</f>
        <v>1841510.2</v>
      </c>
      <c r="H79" s="18"/>
      <c r="I79" s="18"/>
      <c r="J79" s="18">
        <f>1475900+560800+61568.8</f>
        <v>2098268.8</v>
      </c>
      <c r="K79" s="14"/>
      <c r="L79" s="14"/>
      <c r="M79" s="14">
        <f t="shared" si="10"/>
        <v>3939779</v>
      </c>
    </row>
    <row r="80" spans="1:13" ht="71.25">
      <c r="A80" s="10">
        <v>170703</v>
      </c>
      <c r="B80" s="12" t="s">
        <v>106</v>
      </c>
      <c r="C80" s="14"/>
      <c r="D80" s="14"/>
      <c r="E80" s="14"/>
      <c r="F80" s="14">
        <f t="shared" si="13"/>
        <v>247752</v>
      </c>
      <c r="G80" s="18"/>
      <c r="H80" s="18"/>
      <c r="I80" s="18"/>
      <c r="J80" s="18">
        <f>247752</f>
        <v>247752</v>
      </c>
      <c r="K80" s="14"/>
      <c r="L80" s="14"/>
      <c r="M80" s="14">
        <f t="shared" si="10"/>
        <v>247752</v>
      </c>
    </row>
    <row r="81" spans="1:13" ht="30">
      <c r="A81" s="8">
        <v>180000</v>
      </c>
      <c r="B81" s="21" t="s">
        <v>101</v>
      </c>
      <c r="C81" s="13">
        <f>C82</f>
        <v>0</v>
      </c>
      <c r="D81" s="13">
        <f aca="true" t="shared" si="14" ref="D81:L81">D82</f>
        <v>0</v>
      </c>
      <c r="E81" s="13">
        <f t="shared" si="14"/>
        <v>0</v>
      </c>
      <c r="F81" s="13">
        <f t="shared" si="14"/>
        <v>171681</v>
      </c>
      <c r="G81" s="13">
        <f t="shared" si="14"/>
        <v>0</v>
      </c>
      <c r="H81" s="13">
        <f t="shared" si="14"/>
        <v>0</v>
      </c>
      <c r="I81" s="13">
        <f t="shared" si="14"/>
        <v>0</v>
      </c>
      <c r="J81" s="13">
        <f t="shared" si="14"/>
        <v>171681</v>
      </c>
      <c r="K81" s="13">
        <f t="shared" si="14"/>
        <v>171681</v>
      </c>
      <c r="L81" s="13">
        <f t="shared" si="14"/>
        <v>171681</v>
      </c>
      <c r="M81" s="13">
        <f t="shared" si="10"/>
        <v>171681</v>
      </c>
    </row>
    <row r="82" spans="1:13" ht="57">
      <c r="A82" s="19">
        <v>180409</v>
      </c>
      <c r="B82" s="22" t="s">
        <v>102</v>
      </c>
      <c r="C82" s="14"/>
      <c r="D82" s="14"/>
      <c r="E82" s="14"/>
      <c r="F82" s="14">
        <f>G82+J82</f>
        <v>171681</v>
      </c>
      <c r="G82" s="14"/>
      <c r="H82" s="14"/>
      <c r="I82" s="14"/>
      <c r="J82" s="14">
        <f>K82</f>
        <v>171681</v>
      </c>
      <c r="K82" s="14">
        <f>171681</f>
        <v>171681</v>
      </c>
      <c r="L82" s="14">
        <f>171681</f>
        <v>171681</v>
      </c>
      <c r="M82" s="14">
        <f t="shared" si="10"/>
        <v>171681</v>
      </c>
    </row>
    <row r="83" spans="1:13" ht="45">
      <c r="A83" s="8">
        <v>210000</v>
      </c>
      <c r="B83" s="21" t="s">
        <v>45</v>
      </c>
      <c r="C83" s="13">
        <f>SUM(C84:C86)</f>
        <v>234823.54</v>
      </c>
      <c r="D83" s="13">
        <f aca="true" t="shared" si="15" ref="D83:L83">SUM(D84:D86)</f>
        <v>0</v>
      </c>
      <c r="E83" s="13">
        <f t="shared" si="15"/>
        <v>0</v>
      </c>
      <c r="F83" s="13">
        <f t="shared" si="15"/>
        <v>57546</v>
      </c>
      <c r="G83" s="13">
        <f t="shared" si="15"/>
        <v>0</v>
      </c>
      <c r="H83" s="13">
        <f t="shared" si="15"/>
        <v>0</v>
      </c>
      <c r="I83" s="13">
        <f t="shared" si="15"/>
        <v>0</v>
      </c>
      <c r="J83" s="13">
        <f t="shared" si="15"/>
        <v>57546</v>
      </c>
      <c r="K83" s="13">
        <f t="shared" si="15"/>
        <v>57546</v>
      </c>
      <c r="L83" s="13">
        <f t="shared" si="15"/>
        <v>33198</v>
      </c>
      <c r="M83" s="13">
        <f t="shared" si="10"/>
        <v>292369.54000000004</v>
      </c>
    </row>
    <row r="84" spans="1:13" ht="42.75">
      <c r="A84" s="10">
        <v>210105</v>
      </c>
      <c r="B84" s="12" t="s">
        <v>99</v>
      </c>
      <c r="C84" s="14">
        <f>7321.85+25000+5408.69+23289</f>
        <v>61019.54</v>
      </c>
      <c r="D84" s="14"/>
      <c r="E84" s="14"/>
      <c r="F84" s="14">
        <f t="shared" si="13"/>
        <v>33198</v>
      </c>
      <c r="G84" s="14"/>
      <c r="H84" s="14"/>
      <c r="I84" s="14"/>
      <c r="J84" s="14">
        <f>13200+19998</f>
        <v>33198</v>
      </c>
      <c r="K84" s="14">
        <f>13200+19998</f>
        <v>33198</v>
      </c>
      <c r="L84" s="14">
        <f>13200+19998</f>
        <v>33198</v>
      </c>
      <c r="M84" s="14">
        <f t="shared" si="10"/>
        <v>94217.54000000001</v>
      </c>
    </row>
    <row r="85" spans="1:13" ht="44.25" customHeight="1">
      <c r="A85" s="10">
        <v>210106</v>
      </c>
      <c r="B85" s="20" t="s">
        <v>104</v>
      </c>
      <c r="C85" s="14">
        <f>23804</f>
        <v>23804</v>
      </c>
      <c r="D85" s="14"/>
      <c r="E85" s="14"/>
      <c r="F85" s="14">
        <f>G85+J85</f>
        <v>24348</v>
      </c>
      <c r="G85" s="14"/>
      <c r="H85" s="14"/>
      <c r="I85" s="14"/>
      <c r="J85" s="14">
        <f>24348</f>
        <v>24348</v>
      </c>
      <c r="K85" s="14">
        <f>24348</f>
        <v>24348</v>
      </c>
      <c r="L85" s="14"/>
      <c r="M85" s="14">
        <f t="shared" si="10"/>
        <v>48152</v>
      </c>
    </row>
    <row r="86" spans="1:13" ht="28.5">
      <c r="A86" s="10">
        <v>210110</v>
      </c>
      <c r="B86" s="12" t="s">
        <v>46</v>
      </c>
      <c r="C86" s="14">
        <f>150000</f>
        <v>150000</v>
      </c>
      <c r="D86" s="14"/>
      <c r="E86" s="14"/>
      <c r="F86" s="14">
        <f t="shared" si="13"/>
        <v>0</v>
      </c>
      <c r="G86" s="14"/>
      <c r="H86" s="14"/>
      <c r="I86" s="14"/>
      <c r="J86" s="14">
        <f>K86</f>
        <v>0</v>
      </c>
      <c r="K86" s="14"/>
      <c r="L86" s="14"/>
      <c r="M86" s="14">
        <f t="shared" si="10"/>
        <v>150000</v>
      </c>
    </row>
    <row r="87" spans="1:13" ht="15">
      <c r="A87" s="8">
        <v>240000</v>
      </c>
      <c r="B87" s="21" t="s">
        <v>47</v>
      </c>
      <c r="C87" s="13">
        <f>SUM(C88:C89)</f>
        <v>0</v>
      </c>
      <c r="D87" s="13">
        <f>SUM(D88:D89)</f>
        <v>0</v>
      </c>
      <c r="E87" s="13">
        <f>SUM(E88:E89)</f>
        <v>0</v>
      </c>
      <c r="F87" s="13">
        <f>G87+J87</f>
        <v>341219</v>
      </c>
      <c r="G87" s="13">
        <f aca="true" t="shared" si="16" ref="G87:L87">SUM(G88:G89)</f>
        <v>96600</v>
      </c>
      <c r="H87" s="13">
        <f t="shared" si="16"/>
        <v>0</v>
      </c>
      <c r="I87" s="13">
        <f t="shared" si="16"/>
        <v>0</v>
      </c>
      <c r="J87" s="13">
        <f t="shared" si="16"/>
        <v>244619</v>
      </c>
      <c r="K87" s="13">
        <f t="shared" si="16"/>
        <v>0</v>
      </c>
      <c r="L87" s="13">
        <f t="shared" si="16"/>
        <v>0</v>
      </c>
      <c r="M87" s="13">
        <f t="shared" si="10"/>
        <v>341219</v>
      </c>
    </row>
    <row r="88" spans="1:13" ht="28.5">
      <c r="A88" s="10">
        <v>240601</v>
      </c>
      <c r="B88" s="12" t="s">
        <v>48</v>
      </c>
      <c r="C88" s="14"/>
      <c r="D88" s="14"/>
      <c r="E88" s="14"/>
      <c r="F88" s="14">
        <f t="shared" si="13"/>
        <v>60000</v>
      </c>
      <c r="G88" s="14">
        <f>60000</f>
        <v>60000</v>
      </c>
      <c r="H88" s="14"/>
      <c r="I88" s="14"/>
      <c r="J88" s="14"/>
      <c r="K88" s="14"/>
      <c r="L88" s="14"/>
      <c r="M88" s="14">
        <f t="shared" si="10"/>
        <v>60000</v>
      </c>
    </row>
    <row r="89" spans="1:13" ht="15">
      <c r="A89" s="10">
        <v>240602</v>
      </c>
      <c r="B89" s="12" t="s">
        <v>72</v>
      </c>
      <c r="C89" s="14"/>
      <c r="D89" s="14"/>
      <c r="E89" s="14"/>
      <c r="F89" s="14">
        <f t="shared" si="13"/>
        <v>281219</v>
      </c>
      <c r="G89" s="14">
        <f>35700+900</f>
        <v>36600</v>
      </c>
      <c r="H89" s="14"/>
      <c r="I89" s="14"/>
      <c r="J89" s="14">
        <f>40000+11300+193319</f>
        <v>244619</v>
      </c>
      <c r="K89" s="14"/>
      <c r="L89" s="14"/>
      <c r="M89" s="14">
        <f t="shared" si="10"/>
        <v>281219</v>
      </c>
    </row>
    <row r="90" spans="1:13" ht="30">
      <c r="A90" s="8">
        <v>250000</v>
      </c>
      <c r="B90" s="21" t="s">
        <v>49</v>
      </c>
      <c r="C90" s="13">
        <f>SUM(C91:C92)</f>
        <v>391067.70999999996</v>
      </c>
      <c r="D90" s="13">
        <f>SUM(D91:D92)</f>
        <v>0</v>
      </c>
      <c r="E90" s="13">
        <f>SUM(E91:E92)</f>
        <v>0</v>
      </c>
      <c r="F90" s="13">
        <f>G90+J90</f>
        <v>0</v>
      </c>
      <c r="G90" s="13">
        <f aca="true" t="shared" si="17" ref="G90:L90">SUM(G91:G92)</f>
        <v>0</v>
      </c>
      <c r="H90" s="13">
        <f t="shared" si="17"/>
        <v>0</v>
      </c>
      <c r="I90" s="13">
        <f t="shared" si="17"/>
        <v>0</v>
      </c>
      <c r="J90" s="13">
        <f t="shared" si="17"/>
        <v>0</v>
      </c>
      <c r="K90" s="13">
        <f t="shared" si="17"/>
        <v>0</v>
      </c>
      <c r="L90" s="13">
        <f t="shared" si="17"/>
        <v>0</v>
      </c>
      <c r="M90" s="13">
        <f t="shared" si="10"/>
        <v>391067.70999999996</v>
      </c>
    </row>
    <row r="91" spans="1:13" ht="15">
      <c r="A91" s="10">
        <v>250102</v>
      </c>
      <c r="B91" s="12" t="s">
        <v>50</v>
      </c>
      <c r="C91" s="14">
        <f>100000-7321.85-5680-25000-13200-5408.69-19998-23289</f>
        <v>102.45999999999185</v>
      </c>
      <c r="D91" s="14"/>
      <c r="E91" s="14"/>
      <c r="F91" s="14">
        <f t="shared" si="13"/>
        <v>0</v>
      </c>
      <c r="G91" s="14"/>
      <c r="H91" s="14"/>
      <c r="I91" s="14"/>
      <c r="J91" s="14"/>
      <c r="K91" s="14"/>
      <c r="L91" s="14"/>
      <c r="M91" s="14">
        <f t="shared" si="10"/>
        <v>102.45999999999185</v>
      </c>
    </row>
    <row r="92" spans="1:13" ht="15">
      <c r="A92" s="10">
        <v>250404</v>
      </c>
      <c r="B92" s="12" t="s">
        <v>51</v>
      </c>
      <c r="C92" s="14">
        <f>300000+90965.25</f>
        <v>390965.25</v>
      </c>
      <c r="D92" s="14"/>
      <c r="E92" s="14"/>
      <c r="F92" s="14">
        <f t="shared" si="13"/>
        <v>0</v>
      </c>
      <c r="G92" s="14"/>
      <c r="H92" s="14"/>
      <c r="I92" s="14"/>
      <c r="J92" s="14"/>
      <c r="K92" s="14"/>
      <c r="L92" s="14"/>
      <c r="M92" s="14">
        <f t="shared" si="10"/>
        <v>390965.25</v>
      </c>
    </row>
    <row r="93" spans="1:13" ht="15">
      <c r="A93" s="24" t="s">
        <v>58</v>
      </c>
      <c r="B93" s="25"/>
      <c r="C93" s="13">
        <f aca="true" t="shared" si="18" ref="C93:L93">C90+C87+C83+C76+C73+C70+C67+C61+C57+C22+C13+C11+C81</f>
        <v>101422491.32</v>
      </c>
      <c r="D93" s="13">
        <f t="shared" si="18"/>
        <v>32419298</v>
      </c>
      <c r="E93" s="13">
        <f t="shared" si="18"/>
        <v>5820053</v>
      </c>
      <c r="F93" s="13">
        <f t="shared" si="18"/>
        <v>9651893.08</v>
      </c>
      <c r="G93" s="13">
        <f t="shared" si="18"/>
        <v>3865850.2</v>
      </c>
      <c r="H93" s="13">
        <f t="shared" si="18"/>
        <v>372111</v>
      </c>
      <c r="I93" s="13">
        <f t="shared" si="18"/>
        <v>14087</v>
      </c>
      <c r="J93" s="13">
        <f t="shared" si="18"/>
        <v>5786042.880000001</v>
      </c>
      <c r="K93" s="13">
        <f t="shared" si="18"/>
        <v>3142347.08</v>
      </c>
      <c r="L93" s="13">
        <f t="shared" si="18"/>
        <v>519378</v>
      </c>
      <c r="M93" s="13">
        <f t="shared" si="10"/>
        <v>111074384.39999999</v>
      </c>
    </row>
    <row r="94" spans="1:13" ht="15">
      <c r="A94" s="8" t="s">
        <v>52</v>
      </c>
      <c r="B94" s="9"/>
      <c r="C94" s="13">
        <f>C95</f>
        <v>20176200</v>
      </c>
      <c r="D94" s="13">
        <f>D95</f>
        <v>0</v>
      </c>
      <c r="E94" s="13">
        <f>E95</f>
        <v>0</v>
      </c>
      <c r="F94" s="13">
        <f>G94+J94</f>
        <v>800000</v>
      </c>
      <c r="G94" s="13">
        <f aca="true" t="shared" si="19" ref="G94:L94">G95</f>
        <v>0</v>
      </c>
      <c r="H94" s="13">
        <f t="shared" si="19"/>
        <v>0</v>
      </c>
      <c r="I94" s="13">
        <f t="shared" si="19"/>
        <v>0</v>
      </c>
      <c r="J94" s="13">
        <f t="shared" si="19"/>
        <v>800000</v>
      </c>
      <c r="K94" s="13">
        <f t="shared" si="19"/>
        <v>800000</v>
      </c>
      <c r="L94" s="13">
        <f t="shared" si="19"/>
        <v>0</v>
      </c>
      <c r="M94" s="13">
        <f t="shared" si="10"/>
        <v>20976200</v>
      </c>
    </row>
    <row r="95" spans="1:13" ht="15">
      <c r="A95" s="33" t="s">
        <v>53</v>
      </c>
      <c r="B95" s="34"/>
      <c r="C95" s="13">
        <f>SUM(C96:C97)</f>
        <v>20176200</v>
      </c>
      <c r="D95" s="13">
        <f aca="true" t="shared" si="20" ref="D95:L95">SUM(D96:D97)</f>
        <v>0</v>
      </c>
      <c r="E95" s="13">
        <f t="shared" si="20"/>
        <v>0</v>
      </c>
      <c r="F95" s="13">
        <f t="shared" si="20"/>
        <v>800000</v>
      </c>
      <c r="G95" s="13">
        <f t="shared" si="20"/>
        <v>0</v>
      </c>
      <c r="H95" s="13">
        <f t="shared" si="20"/>
        <v>0</v>
      </c>
      <c r="I95" s="13">
        <f t="shared" si="20"/>
        <v>0</v>
      </c>
      <c r="J95" s="13">
        <f t="shared" si="20"/>
        <v>800000</v>
      </c>
      <c r="K95" s="13">
        <f t="shared" si="20"/>
        <v>800000</v>
      </c>
      <c r="L95" s="13">
        <f t="shared" si="20"/>
        <v>0</v>
      </c>
      <c r="M95" s="13">
        <f t="shared" si="10"/>
        <v>20976200</v>
      </c>
    </row>
    <row r="96" spans="1:13" s="3" customFormat="1" ht="57">
      <c r="A96" s="10">
        <v>250344</v>
      </c>
      <c r="B96" s="23" t="s">
        <v>105</v>
      </c>
      <c r="C96" s="14"/>
      <c r="D96" s="14"/>
      <c r="E96" s="14"/>
      <c r="F96" s="14">
        <f>800000</f>
        <v>800000</v>
      </c>
      <c r="G96" s="14"/>
      <c r="H96" s="14"/>
      <c r="I96" s="14"/>
      <c r="J96" s="14">
        <f>800000</f>
        <v>800000</v>
      </c>
      <c r="K96" s="14">
        <f>800000</f>
        <v>800000</v>
      </c>
      <c r="L96" s="14"/>
      <c r="M96" s="14">
        <f t="shared" si="10"/>
        <v>800000</v>
      </c>
    </row>
    <row r="97" spans="1:13" ht="57">
      <c r="A97" s="10">
        <v>250352</v>
      </c>
      <c r="B97" s="11" t="s">
        <v>94</v>
      </c>
      <c r="C97" s="14">
        <f>20176200</f>
        <v>20176200</v>
      </c>
      <c r="D97" s="14"/>
      <c r="E97" s="14"/>
      <c r="F97" s="14">
        <f>G97+J97</f>
        <v>0</v>
      </c>
      <c r="G97" s="14"/>
      <c r="H97" s="14"/>
      <c r="I97" s="14"/>
      <c r="J97" s="14"/>
      <c r="K97" s="14"/>
      <c r="L97" s="14"/>
      <c r="M97" s="14">
        <f t="shared" si="10"/>
        <v>20176200</v>
      </c>
    </row>
    <row r="98" spans="1:13" ht="15">
      <c r="A98" s="24" t="s">
        <v>57</v>
      </c>
      <c r="B98" s="25"/>
      <c r="C98" s="13">
        <f>C94+C93</f>
        <v>121598691.32</v>
      </c>
      <c r="D98" s="13">
        <f aca="true" t="shared" si="21" ref="D98:M98">D94+D93</f>
        <v>32419298</v>
      </c>
      <c r="E98" s="13">
        <f t="shared" si="21"/>
        <v>5820053</v>
      </c>
      <c r="F98" s="13">
        <f t="shared" si="21"/>
        <v>10451893.08</v>
      </c>
      <c r="G98" s="13">
        <f t="shared" si="21"/>
        <v>3865850.2</v>
      </c>
      <c r="H98" s="13">
        <f t="shared" si="21"/>
        <v>372111</v>
      </c>
      <c r="I98" s="13">
        <f t="shared" si="21"/>
        <v>14087</v>
      </c>
      <c r="J98" s="13">
        <f t="shared" si="21"/>
        <v>6586042.880000001</v>
      </c>
      <c r="K98" s="13">
        <f t="shared" si="21"/>
        <v>3942347.08</v>
      </c>
      <c r="L98" s="13">
        <f t="shared" si="21"/>
        <v>519378</v>
      </c>
      <c r="M98" s="13">
        <f t="shared" si="21"/>
        <v>132050584.39999999</v>
      </c>
    </row>
    <row r="100" spans="2:7" ht="15">
      <c r="B100" s="1" t="s">
        <v>54</v>
      </c>
      <c r="D100" s="39"/>
      <c r="E100" s="39"/>
      <c r="G100" s="1" t="s">
        <v>55</v>
      </c>
    </row>
  </sheetData>
  <sheetProtection/>
  <mergeCells count="24">
    <mergeCell ref="D100:E100"/>
    <mergeCell ref="M6:M9"/>
    <mergeCell ref="F7:F9"/>
    <mergeCell ref="H8:H9"/>
    <mergeCell ref="I8:I9"/>
    <mergeCell ref="G7:G9"/>
    <mergeCell ref="H7:I7"/>
    <mergeCell ref="J2:M2"/>
    <mergeCell ref="A4:M4"/>
    <mergeCell ref="C6:E6"/>
    <mergeCell ref="A95:B95"/>
    <mergeCell ref="A3:M3"/>
    <mergeCell ref="K7:L7"/>
    <mergeCell ref="D7:E7"/>
    <mergeCell ref="J7:J9"/>
    <mergeCell ref="F6:L6"/>
    <mergeCell ref="K8:K9"/>
    <mergeCell ref="A98:B98"/>
    <mergeCell ref="E8:E9"/>
    <mergeCell ref="C7:C9"/>
    <mergeCell ref="A6:A9"/>
    <mergeCell ref="B6:B9"/>
    <mergeCell ref="A93:B93"/>
    <mergeCell ref="D8:D9"/>
  </mergeCells>
  <printOptions/>
  <pageMargins left="0.11811023622047245" right="0" top="0.1968503937007874" bottom="0.1968503937007874"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2012-07-16T05:54:49Z</cp:lastPrinted>
  <dcterms:created xsi:type="dcterms:W3CDTF">2010-04-28T10:22:23Z</dcterms:created>
  <dcterms:modified xsi:type="dcterms:W3CDTF">2012-07-16T12:11:32Z</dcterms:modified>
  <cp:category/>
  <cp:version/>
  <cp:contentType/>
  <cp:contentStatus/>
</cp:coreProperties>
</file>