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'Лист1'!$A$1:$M$105</definedName>
  </definedNames>
  <calcPr fullCalcOnLoad="1"/>
</workbook>
</file>

<file path=xl/sharedStrings.xml><?xml version="1.0" encoding="utf-8"?>
<sst xmlns="http://schemas.openxmlformats.org/spreadsheetml/2006/main" count="120" uniqueCount="114">
  <si>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</si>
  <si>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</si>
  <si>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</si>
  <si>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</si>
  <si>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</si>
  <si>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</si>
  <si>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</si>
  <si>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</si>
  <si>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</si>
  <si>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</si>
  <si>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</si>
  <si>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</si>
  <si>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</si>
  <si>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</si>
  <si>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</si>
  <si>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</si>
  <si>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</si>
  <si>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</si>
  <si>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</si>
  <si>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</si>
  <si>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</si>
  <si>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</si>
  <si>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</si>
  <si>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</si>
  <si>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</si>
  <si>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</si>
  <si>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</si>
  <si>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</si>
  <si>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</si>
  <si>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</si>
  <si>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</si>
  <si>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</si>
  <si>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</si>
  <si>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</si>
  <si>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</si>
  <si>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</si>
  <si>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</si>
  <si>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</si>
  <si>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</si>
  <si>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</si>
  <si>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</si>
  <si>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</si>
  <si>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</si>
  <si>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</si>
  <si>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</si>
  <si>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</si>
  <si>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</si>
  <si>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</si>
  <si>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</si>
  <si>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</si>
  <si>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</si>
  <si>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</si>
  <si>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</si>
  <si>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</si>
  <si>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</si>
  <si>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</si>
  <si>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</si>
  <si>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</si>
  <si>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</si>
  <si>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</si>
  <si>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</si>
  <si>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</si>
  <si>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</si>
  <si>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</si>
  <si>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</si>
  <si>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</si>
  <si>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</si>
  <si>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</si>
  <si>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</si>
  <si>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</si>
  <si>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</si>
  <si>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</si>
  <si>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</si>
  <si>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</si>
  <si>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</si>
  <si>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</si>
  <si>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</si>
  <si>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</si>
  <si>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</si>
  <si>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</si>
  <si>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</si>
  <si>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</si>
  <si>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</si>
  <si>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</si>
  <si>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</si>
  <si>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</si>
  <si>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</si>
  <si>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</si>
  <si>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</si>
  <si>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</si>
  <si>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</si>
  <si>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</si>
  <si>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</si>
  <si>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</si>
  <si>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</si>
  <si>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</si>
  <si>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</si>
  <si>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</si>
  <si>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</si>
  <si>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</si>
  <si>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</si>
  <si>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</si>
  <si>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</si>
  <si>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</si>
  <si>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</si>
  <si>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</si>
  <si>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</si>
  <si>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</si>
  <si>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</si>
  <si>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Цільові фонди, утворені ВР АРК, органами місцевого самоврядування і місцевими органами виконавчої влади</t>
  </si>
  <si>
    <t>Інша субвенція</t>
  </si>
  <si>
    <t>Погашення заборгованості з різниці в тарифах на теплову енергію, послуги з централізованого водопостачання та водовідведення , що вироблялись, транспортувались та постачались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затверджувались та\або погоджувались органами державної влади чи місцевого самоврядування</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</si>
  <si>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</si>
  <si>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до  рішення 27  сесії міської ради від 16.11.2012р. №3  "Про внесення змін до бюджету міста на 2012 рік"</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</si>
</sst>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1"/>
      <color theme="1"/>
      <name val="Calibri"/>
      <family val="2"/>
    </font>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43">
    <xf numFmtId="0" fontId="0" fillId="0" borderId="0" xfId="0" applyFont="1" applyAlignment="1">
      <alignment/>
    </xf>
    <xf numFmtId="0" fontId="2" fillId="0" borderId="0" xfId="0" applyFont="1" applyAlignment="1">
      <alignment horizontal="left"/>
    </xf>
    <xf numFmtId="0" fontId="0" fillId="0" borderId="0" xfId="0" applyFill="1" applyAlignment="1">
      <alignment/>
    </xf>
    <xf numFmtId="0" fontId="0" fillId="0" borderId="0" xfId="0" applyFont="1" applyAlignment="1">
      <alignment/>
    </xf>
    <xf numFmtId="0" fontId="4" fillId="0" borderId="0" xfId="0" applyFont="1" applyFill="1" applyAlignment="1">
      <alignment/>
    </xf>
    <xf numFmtId="0" fontId="4" fillId="0" borderId="0" xfId="0" applyFont="1" applyFill="1" applyAlignment="1">
      <alignment horizontal="righ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2" fontId="3"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0" borderId="10" xfId="0" applyNumberFormat="1" applyFont="1" applyFill="1" applyBorder="1" applyAlignment="1">
      <alignment vertical="center"/>
    </xf>
    <xf numFmtId="2" fontId="0" fillId="0" borderId="0" xfId="0" applyNumberFormat="1" applyAlignment="1">
      <alignment/>
    </xf>
    <xf numFmtId="0" fontId="4" fillId="0" borderId="10" xfId="0" applyFont="1" applyBorder="1" applyAlignment="1">
      <alignment vertical="top" wrapText="1"/>
    </xf>
    <xf numFmtId="2" fontId="4" fillId="0" borderId="10" xfId="0" applyNumberFormat="1" applyFont="1" applyFill="1" applyBorder="1" applyAlignment="1">
      <alignment horizontal="right" vertical="center"/>
    </xf>
    <xf numFmtId="0" fontId="6" fillId="0" borderId="10" xfId="0" applyFont="1" applyBorder="1" applyAlignment="1">
      <alignment horizontal="center" vertical="center" wrapText="1"/>
    </xf>
    <xf numFmtId="0" fontId="38" fillId="0" borderId="0" xfId="0" applyFont="1" applyAlignment="1">
      <alignment vertical="top" wrapText="1"/>
    </xf>
    <xf numFmtId="0" fontId="3" fillId="0" borderId="10" xfId="0" applyFont="1" applyFill="1" applyBorder="1" applyAlignment="1">
      <alignment vertical="top" wrapText="1"/>
    </xf>
    <xf numFmtId="0" fontId="6" fillId="0" borderId="10" xfId="0" applyFont="1" applyFill="1" applyBorder="1" applyAlignment="1">
      <alignment vertical="top" wrapText="1"/>
    </xf>
    <xf numFmtId="0" fontId="38" fillId="0" borderId="10" xfId="0" applyFont="1" applyBorder="1" applyAlignment="1">
      <alignment vertical="top" wrapText="1"/>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4" fillId="0" borderId="10" xfId="0" applyFont="1" applyFill="1" applyBorder="1" applyAlignment="1" quotePrefix="1">
      <alignment horizontal="center" vertical="center"/>
    </xf>
    <xf numFmtId="0" fontId="3" fillId="0" borderId="12" xfId="0" applyFont="1" applyFill="1" applyBorder="1" applyAlignment="1">
      <alignment horizontal="center" vertical="center"/>
    </xf>
    <xf numFmtId="0" fontId="4" fillId="0" borderId="11" xfId="0" applyFont="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12" xfId="0" applyFont="1" applyFill="1" applyBorder="1" applyAlignment="1">
      <alignment vertical="center"/>
    </xf>
    <xf numFmtId="0" fontId="0" fillId="0" borderId="11" xfId="0" applyBorder="1" applyAlignment="1">
      <alignmen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C18" sqref="C18"/>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1.00390625" style="0" customWidth="1"/>
    <col min="10" max="12" width="14.28125" style="0" customWidth="1"/>
    <col min="13" max="13" width="15.710937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31" t="s">
        <v>113</v>
      </c>
      <c r="K2" s="31"/>
      <c r="L2" s="31"/>
      <c r="M2" s="32"/>
    </row>
    <row r="3" spans="1:13" ht="15">
      <c r="A3" s="33" t="s">
        <v>97</v>
      </c>
      <c r="B3" s="34"/>
      <c r="C3" s="34"/>
      <c r="D3" s="34"/>
      <c r="E3" s="34"/>
      <c r="F3" s="34"/>
      <c r="G3" s="34"/>
      <c r="H3" s="34"/>
      <c r="I3" s="34"/>
      <c r="J3" s="34"/>
      <c r="K3" s="34"/>
      <c r="L3" s="34"/>
      <c r="M3" s="34"/>
    </row>
    <row r="4" spans="1:13" ht="18" customHeight="1">
      <c r="A4" s="33" t="s">
        <v>81</v>
      </c>
      <c r="B4" s="34"/>
      <c r="C4" s="34"/>
      <c r="D4" s="34"/>
      <c r="E4" s="34"/>
      <c r="F4" s="34"/>
      <c r="G4" s="34"/>
      <c r="H4" s="34"/>
      <c r="I4" s="34"/>
      <c r="J4" s="34"/>
      <c r="K4" s="34"/>
      <c r="L4" s="34"/>
      <c r="M4" s="34"/>
    </row>
    <row r="5" spans="1:13" ht="15">
      <c r="A5" s="4"/>
      <c r="B5" s="4"/>
      <c r="C5" s="4"/>
      <c r="D5" s="4"/>
      <c r="E5" s="4"/>
      <c r="F5" s="4"/>
      <c r="G5" s="4"/>
      <c r="H5" s="4"/>
      <c r="I5" s="4"/>
      <c r="J5" s="4"/>
      <c r="K5" s="4"/>
      <c r="L5" s="4" t="s">
        <v>82</v>
      </c>
      <c r="M5" s="5" t="s">
        <v>1</v>
      </c>
    </row>
    <row r="6" spans="1:13" ht="15">
      <c r="A6" s="30" t="s">
        <v>2</v>
      </c>
      <c r="B6" s="30" t="s">
        <v>3</v>
      </c>
      <c r="C6" s="35" t="s">
        <v>4</v>
      </c>
      <c r="D6" s="35"/>
      <c r="E6" s="35"/>
      <c r="F6" s="35" t="s">
        <v>11</v>
      </c>
      <c r="G6" s="35"/>
      <c r="H6" s="35"/>
      <c r="I6" s="35"/>
      <c r="J6" s="35"/>
      <c r="K6" s="35"/>
      <c r="L6" s="35"/>
      <c r="M6" s="35" t="s">
        <v>12</v>
      </c>
    </row>
    <row r="7" spans="1:13" ht="15">
      <c r="A7" s="30"/>
      <c r="B7" s="30"/>
      <c r="C7" s="30" t="s">
        <v>5</v>
      </c>
      <c r="D7" s="29" t="s">
        <v>7</v>
      </c>
      <c r="E7" s="29"/>
      <c r="F7" s="30" t="s">
        <v>5</v>
      </c>
      <c r="G7" s="29" t="s">
        <v>6</v>
      </c>
      <c r="H7" s="29" t="s">
        <v>7</v>
      </c>
      <c r="I7" s="29"/>
      <c r="J7" s="29" t="s">
        <v>10</v>
      </c>
      <c r="K7" s="38" t="s">
        <v>7</v>
      </c>
      <c r="L7" s="39"/>
      <c r="M7" s="35"/>
    </row>
    <row r="8" spans="1:13" ht="25.5" customHeight="1">
      <c r="A8" s="30"/>
      <c r="B8" s="30"/>
      <c r="C8" s="30"/>
      <c r="D8" s="29" t="s">
        <v>8</v>
      </c>
      <c r="E8" s="29" t="s">
        <v>9</v>
      </c>
      <c r="F8" s="30"/>
      <c r="G8" s="29"/>
      <c r="H8" s="29" t="s">
        <v>8</v>
      </c>
      <c r="I8" s="29" t="s">
        <v>9</v>
      </c>
      <c r="J8" s="29"/>
      <c r="K8" s="40" t="s">
        <v>79</v>
      </c>
      <c r="L8" s="7" t="s">
        <v>7</v>
      </c>
      <c r="M8" s="35"/>
    </row>
    <row r="9" spans="1:13" ht="148.5" customHeight="1">
      <c r="A9" s="30"/>
      <c r="B9" s="30"/>
      <c r="C9" s="30"/>
      <c r="D9" s="29"/>
      <c r="E9" s="29"/>
      <c r="F9" s="30"/>
      <c r="G9" s="29"/>
      <c r="H9" s="29"/>
      <c r="I9" s="29"/>
      <c r="J9" s="29"/>
      <c r="K9" s="41"/>
      <c r="L9" s="7" t="s">
        <v>80</v>
      </c>
      <c r="M9" s="35"/>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1" t="s">
        <v>13</v>
      </c>
      <c r="C11" s="13">
        <f aca="true" t="shared" si="0" ref="C11:L11">C12</f>
        <v>5615628.57</v>
      </c>
      <c r="D11" s="13">
        <f t="shared" si="0"/>
        <v>3725160</v>
      </c>
      <c r="E11" s="13">
        <f t="shared" si="0"/>
        <v>184106</v>
      </c>
      <c r="F11" s="13">
        <f t="shared" si="0"/>
        <v>220410</v>
      </c>
      <c r="G11" s="13">
        <f t="shared" si="0"/>
        <v>0</v>
      </c>
      <c r="H11" s="13">
        <f t="shared" si="0"/>
        <v>0</v>
      </c>
      <c r="I11" s="13">
        <f>I12</f>
        <v>0</v>
      </c>
      <c r="J11" s="13">
        <f t="shared" si="0"/>
        <v>220410</v>
      </c>
      <c r="K11" s="13">
        <f t="shared" si="0"/>
        <v>196410</v>
      </c>
      <c r="L11" s="13">
        <f t="shared" si="0"/>
        <v>0</v>
      </c>
      <c r="M11" s="13">
        <f aca="true" t="shared" si="1" ref="M11:M40">C11+F11</f>
        <v>5836038.57</v>
      </c>
    </row>
    <row r="12" spans="1:13" ht="15">
      <c r="A12" s="10">
        <v>10116</v>
      </c>
      <c r="B12" s="12" t="s">
        <v>14</v>
      </c>
      <c r="C12" s="14">
        <f>5062400+25925.57+318890+170000+9688+1185+6490+5050+16000</f>
        <v>5615628.57</v>
      </c>
      <c r="D12" s="14">
        <f>3366360+234100+124700</f>
        <v>3725160</v>
      </c>
      <c r="E12" s="14">
        <f>149983+9688+1185+985+1075+140+5050+16000</f>
        <v>184106</v>
      </c>
      <c r="F12" s="14">
        <f>G12+J12</f>
        <v>220410</v>
      </c>
      <c r="G12" s="14"/>
      <c r="H12" s="14"/>
      <c r="I12" s="14"/>
      <c r="J12" s="14">
        <f>24000+63575+90610+14635+21900+600+7840-2750</f>
        <v>220410</v>
      </c>
      <c r="K12" s="14">
        <f>63575+90610+14635+21900+600+7840-2750</f>
        <v>196410</v>
      </c>
      <c r="L12" s="14"/>
      <c r="M12" s="14">
        <f t="shared" si="1"/>
        <v>5836038.57</v>
      </c>
    </row>
    <row r="13" spans="1:13" ht="15">
      <c r="A13" s="8">
        <v>70000</v>
      </c>
      <c r="B13" s="21" t="s">
        <v>15</v>
      </c>
      <c r="C13" s="13">
        <f>SUM(C14:C21)</f>
        <v>40739376.099999994</v>
      </c>
      <c r="D13" s="13">
        <f>SUM(D14:D21)</f>
        <v>24250773</v>
      </c>
      <c r="E13" s="13">
        <f>SUM(E14:E21)</f>
        <v>5323525</v>
      </c>
      <c r="F13" s="13">
        <f>G13+J13</f>
        <v>2313095.06</v>
      </c>
      <c r="G13" s="13">
        <f aca="true" t="shared" si="2" ref="G13:L13">SUM(G14:G21)</f>
        <v>1621240</v>
      </c>
      <c r="H13" s="13">
        <f t="shared" si="2"/>
        <v>233915</v>
      </c>
      <c r="I13" s="13">
        <f t="shared" si="2"/>
        <v>10142</v>
      </c>
      <c r="J13" s="13">
        <f t="shared" si="2"/>
        <v>691855.06</v>
      </c>
      <c r="K13" s="13">
        <f t="shared" si="2"/>
        <v>609255.06</v>
      </c>
      <c r="L13" s="13">
        <f t="shared" si="2"/>
        <v>5680</v>
      </c>
      <c r="M13" s="13">
        <f t="shared" si="1"/>
        <v>43052471.16</v>
      </c>
    </row>
    <row r="14" spans="1:13" ht="15">
      <c r="A14" s="10">
        <v>70101</v>
      </c>
      <c r="B14" s="12" t="s">
        <v>16</v>
      </c>
      <c r="C14" s="14">
        <f>12464460+242983.74+3126-60000+221370+35000+118900+30000-11123</f>
        <v>13044716.74</v>
      </c>
      <c r="D14" s="14">
        <f>6893866+162400+87300</f>
        <v>7143566</v>
      </c>
      <c r="E14" s="14">
        <f>2007735</f>
        <v>2007735</v>
      </c>
      <c r="F14" s="14">
        <f aca="true" t="shared" si="3" ref="F14:F75">G14+J14</f>
        <v>1094769</v>
      </c>
      <c r="G14" s="14">
        <f>969987</f>
        <v>969987</v>
      </c>
      <c r="H14" s="14">
        <f>30805</f>
        <v>30805</v>
      </c>
      <c r="I14" s="14"/>
      <c r="J14" s="14">
        <f>7900+81882+35000</f>
        <v>124782</v>
      </c>
      <c r="K14" s="14">
        <f>81882+35000</f>
        <v>116882</v>
      </c>
      <c r="L14" s="14"/>
      <c r="M14" s="14">
        <f t="shared" si="1"/>
        <v>14139485.74</v>
      </c>
    </row>
    <row r="15" spans="1:13" ht="57">
      <c r="A15" s="10">
        <v>70201</v>
      </c>
      <c r="B15" s="12" t="s">
        <v>17</v>
      </c>
      <c r="C15" s="14">
        <f>22988123+48443.09+2084+60000+490900+36408+350000</f>
        <v>23975958.09</v>
      </c>
      <c r="D15" s="14">
        <f>14232508-51400+360200+258000</f>
        <v>14799308</v>
      </c>
      <c r="E15" s="14">
        <f>3206221</f>
        <v>3206221</v>
      </c>
      <c r="F15" s="14">
        <f t="shared" si="3"/>
        <v>760793.06</v>
      </c>
      <c r="G15" s="14">
        <f>241420</f>
        <v>241420</v>
      </c>
      <c r="H15" s="14">
        <f>66030</f>
        <v>66030</v>
      </c>
      <c r="I15" s="14"/>
      <c r="J15" s="14">
        <f>27000+5680+388513.06+67180+31000</f>
        <v>519373.06</v>
      </c>
      <c r="K15" s="14">
        <f>388513.06+5680+67180+31000</f>
        <v>492373.06</v>
      </c>
      <c r="L15" s="14">
        <f>5680</f>
        <v>5680</v>
      </c>
      <c r="M15" s="14">
        <f t="shared" si="1"/>
        <v>24736751.15</v>
      </c>
    </row>
    <row r="16" spans="1:14" ht="28.5">
      <c r="A16" s="10">
        <v>70303</v>
      </c>
      <c r="B16" s="12" t="s">
        <v>59</v>
      </c>
      <c r="C16" s="14">
        <f>235900+4583</f>
        <v>240483</v>
      </c>
      <c r="D16" s="14"/>
      <c r="E16" s="14"/>
      <c r="F16" s="14">
        <f t="shared" si="3"/>
        <v>0</v>
      </c>
      <c r="G16" s="14"/>
      <c r="H16" s="14"/>
      <c r="I16" s="14"/>
      <c r="J16" s="14"/>
      <c r="K16" s="14"/>
      <c r="L16" s="14"/>
      <c r="M16" s="14">
        <f t="shared" si="1"/>
        <v>240483</v>
      </c>
      <c r="N16" s="16"/>
    </row>
    <row r="17" spans="1:13" ht="28.5">
      <c r="A17" s="10">
        <v>70401</v>
      </c>
      <c r="B17" s="12" t="s">
        <v>18</v>
      </c>
      <c r="C17" s="14">
        <f>1060612+818.26+89959-956+23500</f>
        <v>1173933.26</v>
      </c>
      <c r="D17" s="14">
        <f>775135</f>
        <v>775135</v>
      </c>
      <c r="E17" s="14">
        <f>1162</f>
        <v>1162</v>
      </c>
      <c r="F17" s="14">
        <f t="shared" si="3"/>
        <v>0</v>
      </c>
      <c r="G17" s="14"/>
      <c r="H17" s="14"/>
      <c r="I17" s="14"/>
      <c r="J17" s="14"/>
      <c r="K17" s="14"/>
      <c r="L17" s="14"/>
      <c r="M17" s="14">
        <f t="shared" si="1"/>
        <v>1173933.26</v>
      </c>
    </row>
    <row r="18" spans="1:13" ht="28.5">
      <c r="A18" s="10">
        <v>70802</v>
      </c>
      <c r="B18" s="12" t="s">
        <v>19</v>
      </c>
      <c r="C18" s="14">
        <f>507869+3641.76+13800-26014.26+1050+11123</f>
        <v>511469.5</v>
      </c>
      <c r="D18" s="14">
        <f>331178+10100</f>
        <v>341278</v>
      </c>
      <c r="E18" s="14">
        <f>37172-26014.26+1050</f>
        <v>12207.740000000002</v>
      </c>
      <c r="F18" s="14">
        <f t="shared" si="3"/>
        <v>0</v>
      </c>
      <c r="G18" s="14"/>
      <c r="H18" s="14"/>
      <c r="I18" s="14"/>
      <c r="J18" s="14"/>
      <c r="K18" s="14"/>
      <c r="L18" s="14"/>
      <c r="M18" s="14">
        <f t="shared" si="1"/>
        <v>511469.5</v>
      </c>
    </row>
    <row r="19" spans="1:13" ht="28.5">
      <c r="A19" s="10">
        <v>70804</v>
      </c>
      <c r="B19" s="12" t="s">
        <v>20</v>
      </c>
      <c r="C19" s="14">
        <f>880614+1746.25+16326.26+2000+67</f>
        <v>900753.51</v>
      </c>
      <c r="D19" s="14">
        <f>617638</f>
        <v>617638</v>
      </c>
      <c r="E19" s="14">
        <f>16326.26+2000+67</f>
        <v>18393.260000000002</v>
      </c>
      <c r="F19" s="14">
        <f t="shared" si="3"/>
        <v>0</v>
      </c>
      <c r="G19" s="14"/>
      <c r="H19" s="14"/>
      <c r="I19" s="14"/>
      <c r="J19" s="14"/>
      <c r="K19" s="14"/>
      <c r="L19" s="14"/>
      <c r="M19" s="14">
        <f t="shared" si="1"/>
        <v>900753.51</v>
      </c>
    </row>
    <row r="20" spans="1:13" ht="15">
      <c r="A20" s="10">
        <v>70806</v>
      </c>
      <c r="B20" s="12" t="s">
        <v>21</v>
      </c>
      <c r="C20" s="14">
        <f>831800+60+21180+10000</f>
        <v>863040</v>
      </c>
      <c r="D20" s="14">
        <f>558288+15560</f>
        <v>573848</v>
      </c>
      <c r="E20" s="14">
        <f>67806+10000</f>
        <v>77806</v>
      </c>
      <c r="F20" s="14">
        <f t="shared" si="3"/>
        <v>457533</v>
      </c>
      <c r="G20" s="14">
        <f>409833</f>
        <v>409833</v>
      </c>
      <c r="H20" s="14">
        <f>137080</f>
        <v>137080</v>
      </c>
      <c r="I20" s="14">
        <f>10142</f>
        <v>10142</v>
      </c>
      <c r="J20" s="14">
        <f>47700</f>
        <v>47700</v>
      </c>
      <c r="K20" s="14"/>
      <c r="L20" s="14"/>
      <c r="M20" s="14">
        <f t="shared" si="1"/>
        <v>1320573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1" t="s">
        <v>23</v>
      </c>
      <c r="C22" s="13">
        <f>SUM(C23:C58)</f>
        <v>47371457.68</v>
      </c>
      <c r="D22" s="13">
        <f>SUM(D23:D58)</f>
        <v>1949926</v>
      </c>
      <c r="E22" s="13">
        <f>SUM(E23:E58)</f>
        <v>118532</v>
      </c>
      <c r="F22" s="13">
        <f>G22+J22</f>
        <v>265958</v>
      </c>
      <c r="G22" s="13">
        <f aca="true" t="shared" si="4" ref="G22:L22">SUM(G23:G58)</f>
        <v>33000</v>
      </c>
      <c r="H22" s="13">
        <f t="shared" si="4"/>
        <v>11796</v>
      </c>
      <c r="I22" s="13">
        <f t="shared" si="4"/>
        <v>0</v>
      </c>
      <c r="J22" s="13">
        <f t="shared" si="4"/>
        <v>232958</v>
      </c>
      <c r="K22" s="13">
        <f t="shared" si="4"/>
        <v>227958</v>
      </c>
      <c r="L22" s="13">
        <f t="shared" si="4"/>
        <v>142627</v>
      </c>
      <c r="M22" s="13">
        <f t="shared" si="1"/>
        <v>47637415.68</v>
      </c>
    </row>
    <row r="23" spans="1:14" ht="127.5" customHeight="1">
      <c r="A23" s="10">
        <v>90201</v>
      </c>
      <c r="B23" s="12" t="s">
        <v>85</v>
      </c>
      <c r="C23" s="14">
        <f>4701700-127000</f>
        <v>4574700</v>
      </c>
      <c r="D23" s="14"/>
      <c r="E23" s="14"/>
      <c r="F23" s="14">
        <f t="shared" si="3"/>
        <v>0</v>
      </c>
      <c r="G23" s="14"/>
      <c r="H23" s="14"/>
      <c r="I23" s="14"/>
      <c r="J23" s="14"/>
      <c r="K23" s="14"/>
      <c r="L23" s="14"/>
      <c r="M23" s="14">
        <f t="shared" si="1"/>
        <v>4574700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107400</v>
      </c>
      <c r="G25" s="14"/>
      <c r="H25" s="14"/>
      <c r="I25" s="14"/>
      <c r="J25" s="14">
        <f>200000+13500-106100</f>
        <v>107400</v>
      </c>
      <c r="K25" s="14">
        <f>200000+13500-106100</f>
        <v>107400</v>
      </c>
      <c r="L25" s="14">
        <f>200000-106100</f>
        <v>93900</v>
      </c>
      <c r="M25" s="14">
        <f t="shared" si="1"/>
        <v>176400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10708+5175</f>
        <v>15883</v>
      </c>
      <c r="D29" s="14"/>
      <c r="E29" s="14"/>
      <c r="F29" s="14">
        <f t="shared" si="3"/>
        <v>0</v>
      </c>
      <c r="G29" s="14"/>
      <c r="H29" s="14"/>
      <c r="I29" s="14"/>
      <c r="J29" s="14"/>
      <c r="K29" s="14"/>
      <c r="L29" s="14"/>
      <c r="M29" s="14">
        <f t="shared" si="1"/>
        <v>15883</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f>307600+127000</f>
        <v>434600</v>
      </c>
      <c r="D31" s="14"/>
      <c r="E31" s="14"/>
      <c r="F31" s="14">
        <f t="shared" si="3"/>
        <v>0</v>
      </c>
      <c r="G31" s="14"/>
      <c r="H31" s="14"/>
      <c r="I31" s="14"/>
      <c r="J31" s="14"/>
      <c r="K31" s="14"/>
      <c r="L31" s="14"/>
      <c r="M31" s="14">
        <f t="shared" si="1"/>
        <v>434600</v>
      </c>
      <c r="N31" s="3"/>
    </row>
    <row r="32" spans="1:14" ht="42.75">
      <c r="A32" s="10">
        <v>90216</v>
      </c>
      <c r="B32" s="12" t="s">
        <v>89</v>
      </c>
      <c r="C32" s="14">
        <f>1000+71.88</f>
        <v>1071.88</v>
      </c>
      <c r="D32" s="14"/>
      <c r="E32" s="14"/>
      <c r="F32" s="14">
        <f t="shared" si="3"/>
        <v>0</v>
      </c>
      <c r="G32" s="14"/>
      <c r="H32" s="14"/>
      <c r="I32" s="14"/>
      <c r="J32" s="14"/>
      <c r="K32" s="14"/>
      <c r="L32" s="14"/>
      <c r="M32" s="14">
        <f t="shared" si="1"/>
        <v>1071.88</v>
      </c>
      <c r="N32" s="3"/>
    </row>
    <row r="33" spans="1:13" ht="28.5">
      <c r="A33" s="10">
        <v>90302</v>
      </c>
      <c r="B33" s="12" t="s">
        <v>63</v>
      </c>
      <c r="C33" s="15">
        <f>312000+16000</f>
        <v>328000</v>
      </c>
      <c r="D33" s="14"/>
      <c r="E33" s="14"/>
      <c r="F33" s="14">
        <f t="shared" si="3"/>
        <v>0</v>
      </c>
      <c r="G33" s="14"/>
      <c r="H33" s="14"/>
      <c r="I33" s="14"/>
      <c r="J33" s="14"/>
      <c r="K33" s="14"/>
      <c r="L33" s="14"/>
      <c r="M33" s="14">
        <f t="shared" si="1"/>
        <v>328000</v>
      </c>
    </row>
    <row r="34" spans="1:13" ht="28.5">
      <c r="A34" s="10">
        <v>90303</v>
      </c>
      <c r="B34" s="12" t="s">
        <v>64</v>
      </c>
      <c r="C34" s="15">
        <f>5160000+75000+90000</f>
        <v>5325000</v>
      </c>
      <c r="D34" s="14"/>
      <c r="E34" s="14"/>
      <c r="F34" s="14">
        <f t="shared" si="3"/>
        <v>0</v>
      </c>
      <c r="G34" s="14"/>
      <c r="H34" s="14"/>
      <c r="I34" s="14"/>
      <c r="J34" s="14"/>
      <c r="K34" s="14"/>
      <c r="L34" s="14"/>
      <c r="M34" s="14">
        <f t="shared" si="1"/>
        <v>5325000</v>
      </c>
    </row>
    <row r="35" spans="1:13" ht="15">
      <c r="A35" s="10">
        <v>90304</v>
      </c>
      <c r="B35" s="12" t="s">
        <v>90</v>
      </c>
      <c r="C35" s="15">
        <f>12000000-400000-20000+467650</f>
        <v>12047650</v>
      </c>
      <c r="D35" s="14"/>
      <c r="E35" s="14"/>
      <c r="F35" s="14">
        <f t="shared" si="3"/>
        <v>0</v>
      </c>
      <c r="G35" s="14"/>
      <c r="H35" s="14"/>
      <c r="I35" s="14"/>
      <c r="J35" s="14"/>
      <c r="K35" s="14"/>
      <c r="L35" s="14"/>
      <c r="M35" s="14">
        <f t="shared" si="1"/>
        <v>12047650</v>
      </c>
    </row>
    <row r="36" spans="1:13" ht="28.5">
      <c r="A36" s="10">
        <v>90305</v>
      </c>
      <c r="B36" s="12" t="s">
        <v>65</v>
      </c>
      <c r="C36" s="15">
        <f>960000+71000+20000+116000</f>
        <v>1167000</v>
      </c>
      <c r="D36" s="14"/>
      <c r="E36" s="14"/>
      <c r="F36" s="14">
        <f t="shared" si="3"/>
        <v>0</v>
      </c>
      <c r="G36" s="14"/>
      <c r="H36" s="14"/>
      <c r="I36" s="14"/>
      <c r="J36" s="14"/>
      <c r="K36" s="14"/>
      <c r="L36" s="14"/>
      <c r="M36" s="14">
        <f t="shared" si="1"/>
        <v>1167000</v>
      </c>
    </row>
    <row r="37" spans="1:13" ht="15">
      <c r="A37" s="10">
        <v>90306</v>
      </c>
      <c r="B37" s="12" t="s">
        <v>66</v>
      </c>
      <c r="C37" s="15">
        <f>1992000+131000+203800</f>
        <v>2326800</v>
      </c>
      <c r="D37" s="14"/>
      <c r="E37" s="14"/>
      <c r="F37" s="14">
        <f t="shared" si="3"/>
        <v>0</v>
      </c>
      <c r="G37" s="14"/>
      <c r="H37" s="14"/>
      <c r="I37" s="14"/>
      <c r="J37" s="14"/>
      <c r="K37" s="14"/>
      <c r="L37" s="14"/>
      <c r="M37" s="14">
        <f t="shared" si="1"/>
        <v>2326800</v>
      </c>
    </row>
    <row r="38" spans="1:13" ht="15">
      <c r="A38" s="10">
        <v>90307</v>
      </c>
      <c r="B38" s="12" t="s">
        <v>67</v>
      </c>
      <c r="C38" s="15">
        <f>456000+14000+39600</f>
        <v>509600</v>
      </c>
      <c r="D38" s="14"/>
      <c r="E38" s="14"/>
      <c r="F38" s="14">
        <f t="shared" si="3"/>
        <v>0</v>
      </c>
      <c r="G38" s="14"/>
      <c r="H38" s="14"/>
      <c r="I38" s="14"/>
      <c r="J38" s="14"/>
      <c r="K38" s="14"/>
      <c r="L38" s="14"/>
      <c r="M38" s="14">
        <f t="shared" si="1"/>
        <v>509600</v>
      </c>
    </row>
    <row r="39" spans="1:13" ht="15">
      <c r="A39" s="10">
        <v>90308</v>
      </c>
      <c r="B39" s="12" t="s">
        <v>95</v>
      </c>
      <c r="C39" s="15">
        <v>8328</v>
      </c>
      <c r="D39" s="14"/>
      <c r="E39" s="14"/>
      <c r="F39" s="14">
        <f>G39+J39</f>
        <v>0</v>
      </c>
      <c r="G39" s="14"/>
      <c r="H39" s="14"/>
      <c r="I39" s="14"/>
      <c r="J39" s="14"/>
      <c r="K39" s="14"/>
      <c r="L39" s="14"/>
      <c r="M39" s="14">
        <f>C39+F39</f>
        <v>8328</v>
      </c>
    </row>
    <row r="40" spans="1:13" ht="28.5">
      <c r="A40" s="10">
        <v>90401</v>
      </c>
      <c r="B40" s="12" t="s">
        <v>68</v>
      </c>
      <c r="C40" s="15">
        <f>873692+109600+400000+169796.74</f>
        <v>1553088.74</v>
      </c>
      <c r="D40" s="14"/>
      <c r="E40" s="14"/>
      <c r="F40" s="14">
        <f t="shared" si="3"/>
        <v>0</v>
      </c>
      <c r="G40" s="14"/>
      <c r="H40" s="14"/>
      <c r="I40" s="14"/>
      <c r="J40" s="14"/>
      <c r="K40" s="14"/>
      <c r="L40" s="14"/>
      <c r="M40" s="14">
        <f t="shared" si="1"/>
        <v>1553088.74</v>
      </c>
    </row>
    <row r="41" spans="1:13" ht="42.75">
      <c r="A41" s="10">
        <v>90405</v>
      </c>
      <c r="B41" s="12" t="s">
        <v>69</v>
      </c>
      <c r="C41" s="14">
        <v>8200000</v>
      </c>
      <c r="D41" s="14"/>
      <c r="E41" s="14"/>
      <c r="F41" s="14">
        <f t="shared" si="3"/>
        <v>0</v>
      </c>
      <c r="G41" s="14"/>
      <c r="H41" s="14"/>
      <c r="I41" s="14"/>
      <c r="J41" s="14"/>
      <c r="K41" s="14"/>
      <c r="L41" s="14"/>
      <c r="M41" s="14">
        <f aca="true" t="shared" si="5" ref="M41:M74">C41+F41</f>
        <v>8200000</v>
      </c>
    </row>
    <row r="42" spans="1:13" ht="57">
      <c r="A42" s="10">
        <v>90406</v>
      </c>
      <c r="B42" s="12" t="s">
        <v>70</v>
      </c>
      <c r="C42" s="14">
        <f>8000-71.88</f>
        <v>7928.12</v>
      </c>
      <c r="D42" s="14"/>
      <c r="E42" s="14"/>
      <c r="F42" s="14">
        <f t="shared" si="3"/>
        <v>0</v>
      </c>
      <c r="G42" s="14"/>
      <c r="H42" s="14"/>
      <c r="I42" s="14"/>
      <c r="J42" s="14"/>
      <c r="K42" s="14"/>
      <c r="L42" s="14"/>
      <c r="M42" s="14">
        <f t="shared" si="5"/>
        <v>7928.12</v>
      </c>
    </row>
    <row r="43" spans="1:13" ht="28.5">
      <c r="A43" s="10">
        <v>90412</v>
      </c>
      <c r="B43" s="12" t="s">
        <v>24</v>
      </c>
      <c r="C43" s="14">
        <f>85000+95000-35000</f>
        <v>145000</v>
      </c>
      <c r="D43" s="14"/>
      <c r="E43" s="14"/>
      <c r="F43" s="14">
        <f t="shared" si="3"/>
        <v>0</v>
      </c>
      <c r="G43" s="14"/>
      <c r="H43" s="14"/>
      <c r="I43" s="14"/>
      <c r="J43" s="14"/>
      <c r="K43" s="14"/>
      <c r="L43" s="14"/>
      <c r="M43" s="14">
        <f t="shared" si="5"/>
        <v>145000</v>
      </c>
    </row>
    <row r="44" spans="1:13" ht="28.5">
      <c r="A44" s="10">
        <v>90413</v>
      </c>
      <c r="B44" s="12" t="s">
        <v>62</v>
      </c>
      <c r="C44" s="14">
        <f>36634+316900+25578.6+21909.61-25578.6+187200</f>
        <v>562643.61</v>
      </c>
      <c r="D44" s="14"/>
      <c r="E44" s="14"/>
      <c r="F44" s="14">
        <f t="shared" si="3"/>
        <v>0</v>
      </c>
      <c r="G44" s="14"/>
      <c r="H44" s="14"/>
      <c r="I44" s="14"/>
      <c r="J44" s="14"/>
      <c r="K44" s="14"/>
      <c r="L44" s="14"/>
      <c r="M44" s="14">
        <f t="shared" si="5"/>
        <v>562643.61</v>
      </c>
    </row>
    <row r="45" spans="1:13" ht="73.5" customHeight="1">
      <c r="A45" s="10">
        <v>90414</v>
      </c>
      <c r="B45" s="12" t="s">
        <v>96</v>
      </c>
      <c r="C45" s="14">
        <v>1800</v>
      </c>
      <c r="D45" s="15"/>
      <c r="E45" s="15"/>
      <c r="F45" s="14">
        <f t="shared" si="3"/>
        <v>0</v>
      </c>
      <c r="G45" s="15"/>
      <c r="H45" s="15"/>
      <c r="I45" s="15"/>
      <c r="J45" s="15"/>
      <c r="K45" s="15"/>
      <c r="L45" s="15"/>
      <c r="M45" s="15">
        <f t="shared" si="5"/>
        <v>1800</v>
      </c>
    </row>
    <row r="46" spans="1:13" ht="28.5">
      <c r="A46" s="10">
        <v>90417</v>
      </c>
      <c r="B46" s="12" t="s">
        <v>91</v>
      </c>
      <c r="C46" s="14">
        <f>35149-16905</f>
        <v>18244</v>
      </c>
      <c r="D46" s="14"/>
      <c r="E46" s="14"/>
      <c r="F46" s="14">
        <f t="shared" si="3"/>
        <v>0</v>
      </c>
      <c r="G46" s="14"/>
      <c r="H46" s="14"/>
      <c r="I46" s="14"/>
      <c r="J46" s="14"/>
      <c r="K46" s="14"/>
      <c r="L46" s="14"/>
      <c r="M46" s="14">
        <f t="shared" si="5"/>
        <v>18244</v>
      </c>
    </row>
    <row r="47" spans="1:13" ht="28.5">
      <c r="A47" s="10">
        <v>90802</v>
      </c>
      <c r="B47" s="12" t="s">
        <v>107</v>
      </c>
      <c r="C47" s="14">
        <f>5000</f>
        <v>5000</v>
      </c>
      <c r="D47" s="14"/>
      <c r="E47" s="14"/>
      <c r="F47" s="14">
        <f t="shared" si="3"/>
        <v>0</v>
      </c>
      <c r="G47" s="14"/>
      <c r="H47" s="14"/>
      <c r="I47" s="14"/>
      <c r="J47" s="14"/>
      <c r="K47" s="14"/>
      <c r="L47" s="14"/>
      <c r="M47" s="14">
        <f t="shared" si="5"/>
        <v>5000</v>
      </c>
    </row>
    <row r="48" spans="1:13" ht="28.5">
      <c r="A48" s="10">
        <v>91101</v>
      </c>
      <c r="B48" s="12" t="s">
        <v>25</v>
      </c>
      <c r="C48" s="14">
        <f>164811+400+279800-60500+1500+8835+2510+1438</f>
        <v>398794</v>
      </c>
      <c r="D48" s="18">
        <f>116149+132000</f>
        <v>248149</v>
      </c>
      <c r="E48" s="14">
        <f>4615+21240-4000+2510</f>
        <v>24365</v>
      </c>
      <c r="F48" s="14">
        <f t="shared" si="3"/>
        <v>48727</v>
      </c>
      <c r="G48" s="14"/>
      <c r="H48" s="14"/>
      <c r="I48" s="14"/>
      <c r="J48" s="14">
        <f>60500-1500-8835-1438</f>
        <v>48727</v>
      </c>
      <c r="K48" s="14">
        <f>60500-1500-8835-1438</f>
        <v>48727</v>
      </c>
      <c r="L48" s="14">
        <f>60500-1500-8835-1438</f>
        <v>48727</v>
      </c>
      <c r="M48" s="14">
        <f t="shared" si="5"/>
        <v>447521</v>
      </c>
    </row>
    <row r="49" spans="1:13" ht="28.5">
      <c r="A49" s="10">
        <v>91102</v>
      </c>
      <c r="B49" s="12" t="s">
        <v>26</v>
      </c>
      <c r="C49" s="14">
        <f>7290</f>
        <v>7290</v>
      </c>
      <c r="D49" s="14"/>
      <c r="E49" s="14"/>
      <c r="F49" s="14">
        <f t="shared" si="3"/>
        <v>0</v>
      </c>
      <c r="G49" s="14"/>
      <c r="H49" s="14"/>
      <c r="I49" s="14"/>
      <c r="J49" s="14"/>
      <c r="K49" s="14"/>
      <c r="L49" s="14"/>
      <c r="M49" s="14">
        <f t="shared" si="5"/>
        <v>7290</v>
      </c>
    </row>
    <row r="50" spans="1:13" ht="28.5">
      <c r="A50" s="10">
        <v>91103</v>
      </c>
      <c r="B50" s="12" t="s">
        <v>27</v>
      </c>
      <c r="C50" s="14">
        <f>65610+2704.59-6490</f>
        <v>61824.59</v>
      </c>
      <c r="D50" s="14"/>
      <c r="E50" s="14"/>
      <c r="F50" s="14">
        <f t="shared" si="3"/>
        <v>0</v>
      </c>
      <c r="G50" s="14"/>
      <c r="H50" s="14"/>
      <c r="I50" s="14"/>
      <c r="J50" s="14"/>
      <c r="K50" s="14"/>
      <c r="L50" s="14"/>
      <c r="M50" s="14">
        <f t="shared" si="5"/>
        <v>61824.59</v>
      </c>
    </row>
    <row r="51" spans="1:13" ht="15">
      <c r="A51" s="10">
        <v>91106</v>
      </c>
      <c r="B51" s="12" t="s">
        <v>28</v>
      </c>
      <c r="C51" s="14">
        <f>406327+543+5600</f>
        <v>412470</v>
      </c>
      <c r="D51" s="14">
        <f>290435+4100</f>
        <v>294535</v>
      </c>
      <c r="E51" s="14">
        <f>20159</f>
        <v>20159</v>
      </c>
      <c r="F51" s="14">
        <f t="shared" si="3"/>
        <v>13000</v>
      </c>
      <c r="G51" s="14">
        <f>13000</f>
        <v>13000</v>
      </c>
      <c r="H51" s="14">
        <f>5796</f>
        <v>5796</v>
      </c>
      <c r="I51" s="14"/>
      <c r="J51" s="14"/>
      <c r="K51" s="14"/>
      <c r="L51" s="14"/>
      <c r="M51" s="14">
        <f t="shared" si="5"/>
        <v>425470</v>
      </c>
    </row>
    <row r="52" spans="1:13" ht="81.75" customHeight="1">
      <c r="A52" s="10">
        <v>91108</v>
      </c>
      <c r="B52" s="17" t="s">
        <v>56</v>
      </c>
      <c r="C52" s="14">
        <f>50524+37000+956</f>
        <v>88480</v>
      </c>
      <c r="D52" s="14"/>
      <c r="E52" s="14"/>
      <c r="F52" s="14">
        <f t="shared" si="3"/>
        <v>0</v>
      </c>
      <c r="G52" s="14"/>
      <c r="H52" s="14"/>
      <c r="I52" s="14"/>
      <c r="J52" s="14"/>
      <c r="K52" s="14"/>
      <c r="L52" s="14"/>
      <c r="M52" s="14">
        <f t="shared" si="5"/>
        <v>88480</v>
      </c>
    </row>
    <row r="53" spans="1:13" ht="42.75">
      <c r="A53" s="10">
        <v>91204</v>
      </c>
      <c r="B53" s="12" t="s">
        <v>108</v>
      </c>
      <c r="C53" s="15">
        <f>1746786+816.88+19592</f>
        <v>1767194.88</v>
      </c>
      <c r="D53" s="15">
        <f>1132405</f>
        <v>1132405</v>
      </c>
      <c r="E53" s="15">
        <f>43111</f>
        <v>43111</v>
      </c>
      <c r="F53" s="15">
        <f t="shared" si="3"/>
        <v>96831</v>
      </c>
      <c r="G53" s="14">
        <f>20000</f>
        <v>20000</v>
      </c>
      <c r="H53" s="14">
        <f>6000</f>
        <v>6000</v>
      </c>
      <c r="I53" s="14"/>
      <c r="J53" s="14">
        <f>5000+59399+12432</f>
        <v>76831</v>
      </c>
      <c r="K53" s="15">
        <f>59399+12432</f>
        <v>71831</v>
      </c>
      <c r="L53" s="15"/>
      <c r="M53" s="14">
        <f t="shared" si="5"/>
        <v>1864025.88</v>
      </c>
    </row>
    <row r="54" spans="1:13" ht="99.75">
      <c r="A54" s="10">
        <v>91205</v>
      </c>
      <c r="B54" s="12" t="s">
        <v>106</v>
      </c>
      <c r="C54" s="15">
        <f>26000</f>
        <v>26000</v>
      </c>
      <c r="D54" s="15"/>
      <c r="E54" s="15"/>
      <c r="F54" s="15">
        <f t="shared" si="3"/>
        <v>0</v>
      </c>
      <c r="G54" s="14"/>
      <c r="H54" s="14"/>
      <c r="I54" s="14"/>
      <c r="J54" s="14"/>
      <c r="K54" s="15"/>
      <c r="L54" s="15"/>
      <c r="M54" s="14">
        <f t="shared" si="5"/>
        <v>26000</v>
      </c>
    </row>
    <row r="55" spans="1:13" ht="28.5">
      <c r="A55" s="10">
        <v>91206</v>
      </c>
      <c r="B55" s="12" t="s">
        <v>92</v>
      </c>
      <c r="C55" s="14">
        <f>427545+5000+13055</f>
        <v>445600</v>
      </c>
      <c r="D55" s="14">
        <f>267293+7544</f>
        <v>274837</v>
      </c>
      <c r="E55" s="14">
        <f>20124+9110+1663</f>
        <v>30897</v>
      </c>
      <c r="F55" s="14">
        <f t="shared" si="3"/>
        <v>0</v>
      </c>
      <c r="G55" s="14"/>
      <c r="H55" s="14"/>
      <c r="I55" s="14"/>
      <c r="J55" s="14"/>
      <c r="K55" s="14"/>
      <c r="L55" s="14"/>
      <c r="M55" s="14">
        <f t="shared" si="5"/>
        <v>445600</v>
      </c>
    </row>
    <row r="56" spans="1:13" ht="42.75">
      <c r="A56" s="10">
        <v>91300</v>
      </c>
      <c r="B56" s="12" t="s">
        <v>74</v>
      </c>
      <c r="C56" s="14">
        <f>4261800+71000+165642.47</f>
        <v>4498442.47</v>
      </c>
      <c r="D56" s="14"/>
      <c r="E56" s="14"/>
      <c r="F56" s="14">
        <f t="shared" si="3"/>
        <v>0</v>
      </c>
      <c r="G56" s="14"/>
      <c r="H56" s="14"/>
      <c r="I56" s="14"/>
      <c r="J56" s="14"/>
      <c r="K56" s="14"/>
      <c r="L56" s="14"/>
      <c r="M56" s="14">
        <f t="shared" si="5"/>
        <v>4498442.47</v>
      </c>
    </row>
    <row r="57" spans="1:13" ht="59.25" customHeight="1">
      <c r="A57" s="10">
        <v>91303</v>
      </c>
      <c r="B57" s="12" t="s">
        <v>75</v>
      </c>
      <c r="C57" s="14">
        <f>17344-4731.61</f>
        <v>12612.39</v>
      </c>
      <c r="D57" s="14"/>
      <c r="E57" s="14"/>
      <c r="F57" s="14">
        <f t="shared" si="3"/>
        <v>0</v>
      </c>
      <c r="G57" s="14"/>
      <c r="H57" s="14"/>
      <c r="I57" s="14"/>
      <c r="J57" s="14"/>
      <c r="K57" s="14"/>
      <c r="L57" s="14"/>
      <c r="M57" s="14">
        <f t="shared" si="5"/>
        <v>12612.39</v>
      </c>
    </row>
    <row r="58" spans="1:13" ht="28.5">
      <c r="A58" s="10">
        <v>91304</v>
      </c>
      <c r="B58" s="12" t="s">
        <v>76</v>
      </c>
      <c r="C58" s="14">
        <f>6960-5448</f>
        <v>1512</v>
      </c>
      <c r="D58" s="14"/>
      <c r="E58" s="14"/>
      <c r="F58" s="14">
        <f t="shared" si="3"/>
        <v>0</v>
      </c>
      <c r="G58" s="14"/>
      <c r="H58" s="14"/>
      <c r="I58" s="14"/>
      <c r="J58" s="14"/>
      <c r="K58" s="14"/>
      <c r="L58" s="14"/>
      <c r="M58" s="14">
        <f t="shared" si="5"/>
        <v>1512</v>
      </c>
    </row>
    <row r="59" spans="1:13" ht="30">
      <c r="A59" s="8">
        <v>100000</v>
      </c>
      <c r="B59" s="21" t="s">
        <v>29</v>
      </c>
      <c r="C59" s="13">
        <f>SUM(C60:C62)+C63</f>
        <v>3927500</v>
      </c>
      <c r="D59" s="13">
        <f>SUM(D60:D62)+D63</f>
        <v>0</v>
      </c>
      <c r="E59" s="13">
        <f>SUM(E60:E62)+E63</f>
        <v>0</v>
      </c>
      <c r="F59" s="13">
        <f aca="true" t="shared" si="6" ref="F59:L59">SUM(F60:F62)+F63</f>
        <v>958551</v>
      </c>
      <c r="G59" s="13">
        <f t="shared" si="6"/>
        <v>314000</v>
      </c>
      <c r="H59" s="13">
        <f t="shared" si="6"/>
        <v>0</v>
      </c>
      <c r="I59" s="13">
        <f t="shared" si="6"/>
        <v>0</v>
      </c>
      <c r="J59" s="13">
        <f t="shared" si="6"/>
        <v>644551</v>
      </c>
      <c r="K59" s="13">
        <f t="shared" si="6"/>
        <v>644551</v>
      </c>
      <c r="L59" s="13">
        <f t="shared" si="6"/>
        <v>48319</v>
      </c>
      <c r="M59" s="13">
        <f t="shared" si="5"/>
        <v>4886051</v>
      </c>
    </row>
    <row r="60" spans="1:13" s="3" customFormat="1" ht="28.5">
      <c r="A60" s="10">
        <v>100102</v>
      </c>
      <c r="B60" s="12" t="s">
        <v>101</v>
      </c>
      <c r="C60" s="14"/>
      <c r="D60" s="14"/>
      <c r="E60" s="14"/>
      <c r="F60" s="14">
        <f t="shared" si="3"/>
        <v>100319</v>
      </c>
      <c r="G60" s="14"/>
      <c r="H60" s="14"/>
      <c r="I60" s="14"/>
      <c r="J60" s="14">
        <f>48319+52000</f>
        <v>100319</v>
      </c>
      <c r="K60" s="14">
        <f>48319+52000</f>
        <v>100319</v>
      </c>
      <c r="L60" s="14">
        <f>48319</f>
        <v>48319</v>
      </c>
      <c r="M60" s="14">
        <f t="shared" si="5"/>
        <v>100319</v>
      </c>
    </row>
    <row r="61" spans="1:13" s="3" customFormat="1" ht="28.5">
      <c r="A61" s="10">
        <v>100202</v>
      </c>
      <c r="B61" s="12" t="s">
        <v>105</v>
      </c>
      <c r="C61" s="14"/>
      <c r="D61" s="14"/>
      <c r="E61" s="14"/>
      <c r="F61" s="14">
        <f t="shared" si="3"/>
        <v>508937</v>
      </c>
      <c r="G61" s="14"/>
      <c r="H61" s="14"/>
      <c r="I61" s="14"/>
      <c r="J61" s="14">
        <f>86300+91350+50000+288652+123708-123708-7365</f>
        <v>508937</v>
      </c>
      <c r="K61" s="14">
        <f>86300+91350+50000+288652-7365</f>
        <v>508937</v>
      </c>
      <c r="L61" s="14"/>
      <c r="M61" s="14">
        <f t="shared" si="5"/>
        <v>508937</v>
      </c>
    </row>
    <row r="62" spans="1:13" ht="15">
      <c r="A62" s="10">
        <v>100203</v>
      </c>
      <c r="B62" s="12" t="s">
        <v>30</v>
      </c>
      <c r="C62" s="14">
        <f>3350000+10000+20000+21000+526500</f>
        <v>3927500</v>
      </c>
      <c r="D62" s="14"/>
      <c r="E62" s="14"/>
      <c r="F62" s="14">
        <f t="shared" si="3"/>
        <v>35295</v>
      </c>
      <c r="G62" s="14"/>
      <c r="H62" s="14"/>
      <c r="I62" s="14"/>
      <c r="J62" s="14">
        <f>35295</f>
        <v>35295</v>
      </c>
      <c r="K62" s="14">
        <f>35295</f>
        <v>35295</v>
      </c>
      <c r="L62" s="14"/>
      <c r="M62" s="14">
        <f t="shared" si="5"/>
        <v>3962795</v>
      </c>
    </row>
    <row r="63" spans="1:13" ht="185.25">
      <c r="A63" s="26">
        <v>100602</v>
      </c>
      <c r="B63" s="12" t="s">
        <v>111</v>
      </c>
      <c r="C63" s="18">
        <v>0</v>
      </c>
      <c r="D63" s="18">
        <v>0</v>
      </c>
      <c r="E63" s="18">
        <v>0</v>
      </c>
      <c r="F63" s="18">
        <f>G63+J63</f>
        <v>314000</v>
      </c>
      <c r="G63" s="18">
        <f>314000</f>
        <v>314000</v>
      </c>
      <c r="H63" s="18"/>
      <c r="I63" s="18"/>
      <c r="J63" s="18"/>
      <c r="K63" s="18"/>
      <c r="L63" s="18"/>
      <c r="M63" s="18">
        <f t="shared" si="5"/>
        <v>314000</v>
      </c>
    </row>
    <row r="64" spans="1:13" ht="15">
      <c r="A64" s="8">
        <v>110000</v>
      </c>
      <c r="B64" s="21" t="s">
        <v>31</v>
      </c>
      <c r="C64" s="13">
        <f>SUM(C65:C69)</f>
        <v>3771659</v>
      </c>
      <c r="D64" s="13">
        <f>SUM(D65:D69)</f>
        <v>2542256</v>
      </c>
      <c r="E64" s="13">
        <f>SUM(E65:E69)</f>
        <v>165794</v>
      </c>
      <c r="F64" s="13">
        <f>G64+J64</f>
        <v>459825</v>
      </c>
      <c r="G64" s="13">
        <f aca="true" t="shared" si="7" ref="G64:L64">SUM(G65:G69)</f>
        <v>273500</v>
      </c>
      <c r="H64" s="13">
        <f t="shared" si="7"/>
        <v>126400</v>
      </c>
      <c r="I64" s="13">
        <f t="shared" si="7"/>
        <v>3945</v>
      </c>
      <c r="J64" s="13">
        <f t="shared" si="7"/>
        <v>186325</v>
      </c>
      <c r="K64" s="13">
        <f t="shared" si="7"/>
        <v>120825</v>
      </c>
      <c r="L64" s="13">
        <f t="shared" si="7"/>
        <v>0</v>
      </c>
      <c r="M64" s="13">
        <f t="shared" si="5"/>
        <v>4231484</v>
      </c>
    </row>
    <row r="65" spans="1:13" ht="15">
      <c r="A65" s="10">
        <v>110201</v>
      </c>
      <c r="B65" s="12" t="s">
        <v>32</v>
      </c>
      <c r="C65" s="14">
        <f>236616+2173+6511+2890</f>
        <v>248190</v>
      </c>
      <c r="D65" s="14">
        <f>152640+1595+4777+2091</f>
        <v>161103</v>
      </c>
      <c r="E65" s="14">
        <f>28568</f>
        <v>28568</v>
      </c>
      <c r="F65" s="14">
        <f t="shared" si="3"/>
        <v>20454</v>
      </c>
      <c r="G65" s="14">
        <v>5000</v>
      </c>
      <c r="H65" s="14"/>
      <c r="I65" s="14"/>
      <c r="J65" s="14">
        <f>3454+12000</f>
        <v>15454</v>
      </c>
      <c r="K65" s="14">
        <f>3454+12000</f>
        <v>15454</v>
      </c>
      <c r="L65" s="14"/>
      <c r="M65" s="14">
        <f t="shared" si="5"/>
        <v>268644</v>
      </c>
    </row>
    <row r="66" spans="1:13" ht="15">
      <c r="A66" s="10">
        <v>110202</v>
      </c>
      <c r="B66" s="12" t="s">
        <v>33</v>
      </c>
      <c r="C66" s="14">
        <f>67696+3060+22909+6966</f>
        <v>100631</v>
      </c>
      <c r="D66" s="14">
        <f>49063+2250+16808+5199</f>
        <v>73320</v>
      </c>
      <c r="E66" s="14">
        <f>823</f>
        <v>823</v>
      </c>
      <c r="F66" s="14">
        <f t="shared" si="3"/>
        <v>5000</v>
      </c>
      <c r="G66" s="14">
        <f>5000</f>
        <v>5000</v>
      </c>
      <c r="H66" s="14"/>
      <c r="I66" s="14"/>
      <c r="J66" s="14"/>
      <c r="K66" s="14"/>
      <c r="L66" s="14"/>
      <c r="M66" s="14">
        <f t="shared" si="5"/>
        <v>105631</v>
      </c>
    </row>
    <row r="67" spans="1:13" ht="28.5">
      <c r="A67" s="10">
        <v>110204</v>
      </c>
      <c r="B67" s="12" t="s">
        <v>34</v>
      </c>
      <c r="C67" s="14">
        <f>247212+16316+50580+11643</f>
        <v>325751</v>
      </c>
      <c r="D67" s="14">
        <f>176241+11970+37109+8133</f>
        <v>233453</v>
      </c>
      <c r="E67" s="14">
        <f>6995</f>
        <v>6995</v>
      </c>
      <c r="F67" s="14">
        <f t="shared" si="3"/>
        <v>86000</v>
      </c>
      <c r="G67" s="14">
        <f>54500</f>
        <v>54500</v>
      </c>
      <c r="H67" s="14">
        <f>7400</f>
        <v>7400</v>
      </c>
      <c r="I67" s="14">
        <f>3945</f>
        <v>3945</v>
      </c>
      <c r="J67" s="14">
        <f>31500</f>
        <v>31500</v>
      </c>
      <c r="K67" s="14"/>
      <c r="L67" s="14"/>
      <c r="M67" s="14">
        <f t="shared" si="5"/>
        <v>411751</v>
      </c>
    </row>
    <row r="68" spans="1:13" ht="15">
      <c r="A68" s="10">
        <v>110205</v>
      </c>
      <c r="B68" s="12" t="s">
        <v>35</v>
      </c>
      <c r="C68" s="14">
        <f>2115347+5345+63347+72500+20472+26100</f>
        <v>2303111</v>
      </c>
      <c r="D68" s="14">
        <f>1487468+46400+47000+15020</f>
        <v>1595888</v>
      </c>
      <c r="E68" s="14">
        <f>87929+7115+5345+26100</f>
        <v>126489</v>
      </c>
      <c r="F68" s="14">
        <f t="shared" si="3"/>
        <v>333371</v>
      </c>
      <c r="G68" s="14">
        <f>197000</f>
        <v>197000</v>
      </c>
      <c r="H68" s="14">
        <f>119000</f>
        <v>119000</v>
      </c>
      <c r="I68" s="14"/>
      <c r="J68" s="14">
        <f>31000+5371+100000</f>
        <v>136371</v>
      </c>
      <c r="K68" s="14">
        <f>5371+100000</f>
        <v>105371</v>
      </c>
      <c r="L68" s="14"/>
      <c r="M68" s="14">
        <f t="shared" si="5"/>
        <v>2636482</v>
      </c>
    </row>
    <row r="69" spans="1:13" ht="28.5">
      <c r="A69" s="10">
        <v>110502</v>
      </c>
      <c r="B69" s="12" t="s">
        <v>36</v>
      </c>
      <c r="C69" s="14">
        <f>832677+3270-41971</f>
        <v>793976</v>
      </c>
      <c r="D69" s="14">
        <f>506535+2400-30443</f>
        <v>478492</v>
      </c>
      <c r="E69" s="14">
        <f>2919</f>
        <v>2919</v>
      </c>
      <c r="F69" s="14">
        <f t="shared" si="3"/>
        <v>15000</v>
      </c>
      <c r="G69" s="14">
        <f>12000</f>
        <v>12000</v>
      </c>
      <c r="H69" s="14"/>
      <c r="I69" s="14"/>
      <c r="J69" s="14">
        <f>3000</f>
        <v>3000</v>
      </c>
      <c r="K69" s="14"/>
      <c r="L69" s="14"/>
      <c r="M69" s="14">
        <f t="shared" si="5"/>
        <v>808976</v>
      </c>
    </row>
    <row r="70" spans="1:13" ht="15">
      <c r="A70" s="8">
        <v>120000</v>
      </c>
      <c r="B70" s="21" t="s">
        <v>37</v>
      </c>
      <c r="C70" s="13">
        <f>SUM(C71:C72)</f>
        <v>200000</v>
      </c>
      <c r="D70" s="13">
        <f>SUM(D71:D72)</f>
        <v>0</v>
      </c>
      <c r="E70" s="13">
        <f>SUM(E71:E72)</f>
        <v>0</v>
      </c>
      <c r="F70" s="13">
        <f>G70+J70</f>
        <v>10000</v>
      </c>
      <c r="G70" s="13">
        <f aca="true" t="shared" si="8" ref="G70:L70">SUM(G71:G72)</f>
        <v>0</v>
      </c>
      <c r="H70" s="13">
        <f t="shared" si="8"/>
        <v>0</v>
      </c>
      <c r="I70" s="13">
        <f t="shared" si="8"/>
        <v>0</v>
      </c>
      <c r="J70" s="13">
        <f t="shared" si="8"/>
        <v>10000</v>
      </c>
      <c r="K70" s="13">
        <f t="shared" si="8"/>
        <v>10000</v>
      </c>
      <c r="L70" s="13">
        <f t="shared" si="8"/>
        <v>0</v>
      </c>
      <c r="M70" s="13">
        <f t="shared" si="5"/>
        <v>210000</v>
      </c>
    </row>
    <row r="71" spans="1:13" ht="15">
      <c r="A71" s="10">
        <v>120100</v>
      </c>
      <c r="B71" s="12" t="s">
        <v>38</v>
      </c>
      <c r="C71" s="14">
        <f>60000</f>
        <v>60000</v>
      </c>
      <c r="D71" s="14"/>
      <c r="E71" s="14"/>
      <c r="F71" s="14">
        <f t="shared" si="3"/>
        <v>10000</v>
      </c>
      <c r="G71" s="14"/>
      <c r="H71" s="14"/>
      <c r="I71" s="14"/>
      <c r="J71" s="14">
        <f>10000</f>
        <v>10000</v>
      </c>
      <c r="K71" s="14">
        <f>10000</f>
        <v>10000</v>
      </c>
      <c r="L71" s="14"/>
      <c r="M71" s="14">
        <f t="shared" si="5"/>
        <v>70000</v>
      </c>
    </row>
    <row r="72" spans="1:13" ht="28.5">
      <c r="A72" s="10">
        <v>120201</v>
      </c>
      <c r="B72" s="12" t="s">
        <v>39</v>
      </c>
      <c r="C72" s="14">
        <f>140000</f>
        <v>140000</v>
      </c>
      <c r="D72" s="14"/>
      <c r="E72" s="14"/>
      <c r="F72" s="14">
        <f t="shared" si="3"/>
        <v>0</v>
      </c>
      <c r="G72" s="14"/>
      <c r="H72" s="14"/>
      <c r="I72" s="14"/>
      <c r="J72" s="14"/>
      <c r="K72" s="14"/>
      <c r="L72" s="14"/>
      <c r="M72" s="14">
        <f t="shared" si="5"/>
        <v>140000</v>
      </c>
    </row>
    <row r="73" spans="1:13" ht="15">
      <c r="A73" s="8">
        <v>130000</v>
      </c>
      <c r="B73" s="21" t="s">
        <v>40</v>
      </c>
      <c r="C73" s="13">
        <f>SUM(C74:C75)</f>
        <v>1005157.93</v>
      </c>
      <c r="D73" s="13">
        <f>SUM(D74:D75)</f>
        <v>534421</v>
      </c>
      <c r="E73" s="13">
        <f>SUM(E74:E75)</f>
        <v>106121</v>
      </c>
      <c r="F73" s="13">
        <f>G73+J73</f>
        <v>120000</v>
      </c>
      <c r="G73" s="13">
        <f aca="true" t="shared" si="9" ref="G73:L73">SUM(G74:G75)</f>
        <v>0</v>
      </c>
      <c r="H73" s="13">
        <f t="shared" si="9"/>
        <v>0</v>
      </c>
      <c r="I73" s="13">
        <f t="shared" si="9"/>
        <v>0</v>
      </c>
      <c r="J73" s="13">
        <f t="shared" si="9"/>
        <v>120000</v>
      </c>
      <c r="K73" s="13">
        <f t="shared" si="9"/>
        <v>120000</v>
      </c>
      <c r="L73" s="13">
        <f t="shared" si="9"/>
        <v>0</v>
      </c>
      <c r="M73" s="13">
        <f t="shared" si="5"/>
        <v>1125157.9300000002</v>
      </c>
    </row>
    <row r="74" spans="1:13" ht="28.5">
      <c r="A74" s="10">
        <v>130102</v>
      </c>
      <c r="B74" s="12" t="s">
        <v>41</v>
      </c>
      <c r="C74" s="18">
        <f>100000+5309.01+50000</f>
        <v>155309.01</v>
      </c>
      <c r="D74" s="14"/>
      <c r="E74" s="14"/>
      <c r="F74" s="14">
        <f t="shared" si="3"/>
        <v>0</v>
      </c>
      <c r="G74" s="14"/>
      <c r="H74" s="14"/>
      <c r="I74" s="14"/>
      <c r="J74" s="14"/>
      <c r="K74" s="14"/>
      <c r="L74" s="14"/>
      <c r="M74" s="14">
        <f t="shared" si="5"/>
        <v>155309.01</v>
      </c>
    </row>
    <row r="75" spans="1:13" ht="42.75">
      <c r="A75" s="10">
        <v>130107</v>
      </c>
      <c r="B75" s="12" t="s">
        <v>94</v>
      </c>
      <c r="C75" s="14">
        <f>804308-1+6627.92+5920+18794+14200</f>
        <v>849848.92</v>
      </c>
      <c r="D75" s="14">
        <f>520621+13800</f>
        <v>534421</v>
      </c>
      <c r="E75" s="14">
        <f>86001+5920+14200</f>
        <v>106121</v>
      </c>
      <c r="F75" s="14">
        <f t="shared" si="3"/>
        <v>120000</v>
      </c>
      <c r="G75" s="14"/>
      <c r="H75" s="14"/>
      <c r="I75" s="14"/>
      <c r="J75" s="14">
        <f>120000</f>
        <v>120000</v>
      </c>
      <c r="K75" s="14">
        <f>120000</f>
        <v>120000</v>
      </c>
      <c r="L75" s="14"/>
      <c r="M75" s="14">
        <f aca="true" t="shared" si="10" ref="M75:M102">C75+F75</f>
        <v>969848.92</v>
      </c>
    </row>
    <row r="76" spans="1:13" ht="15">
      <c r="A76" s="8">
        <v>150000</v>
      </c>
      <c r="B76" s="21" t="s">
        <v>83</v>
      </c>
      <c r="C76" s="13">
        <f aca="true" t="shared" si="11" ref="C76:L76">SUM(C77:C78)</f>
        <v>0</v>
      </c>
      <c r="D76" s="13">
        <f t="shared" si="11"/>
        <v>0</v>
      </c>
      <c r="E76" s="13">
        <f t="shared" si="11"/>
        <v>0</v>
      </c>
      <c r="F76" s="13">
        <f t="shared" si="11"/>
        <v>1743772.02</v>
      </c>
      <c r="G76" s="13">
        <f t="shared" si="11"/>
        <v>0</v>
      </c>
      <c r="H76" s="13">
        <f t="shared" si="11"/>
        <v>0</v>
      </c>
      <c r="I76" s="13">
        <f t="shared" si="11"/>
        <v>0</v>
      </c>
      <c r="J76" s="13">
        <f t="shared" si="11"/>
        <v>1743772.02</v>
      </c>
      <c r="K76" s="13">
        <f t="shared" si="11"/>
        <v>1743772.02</v>
      </c>
      <c r="L76" s="13">
        <f t="shared" si="11"/>
        <v>0</v>
      </c>
      <c r="M76" s="13">
        <f t="shared" si="10"/>
        <v>1743772.02</v>
      </c>
    </row>
    <row r="77" spans="1:13" ht="15">
      <c r="A77" s="10">
        <v>150101</v>
      </c>
      <c r="B77" s="12" t="s">
        <v>84</v>
      </c>
      <c r="C77" s="14"/>
      <c r="D77" s="14"/>
      <c r="E77" s="14"/>
      <c r="F77" s="14">
        <f>G77+J77</f>
        <v>1247175.03</v>
      </c>
      <c r="G77" s="14"/>
      <c r="H77" s="14"/>
      <c r="I77" s="14"/>
      <c r="J77" s="14">
        <f>2199005+220000+235590-220000-590395.06-105245-800000-85129.94-12000-188305-10000-86300-91350-50000+123468.03+161650+170000+120000-8840+7365+50000+207662</f>
        <v>1247175.03</v>
      </c>
      <c r="K77" s="14">
        <f>2199005+220000+235590-220000-590395.06-105245-800000-85129.94-12000-188305-10000-86300-91350-50000+123468.03+161650+170000+120000-8840+7365+50000+207662</f>
        <v>1247175.03</v>
      </c>
      <c r="L77" s="14"/>
      <c r="M77" s="14">
        <f t="shared" si="10"/>
        <v>1247175.03</v>
      </c>
    </row>
    <row r="78" spans="1:13" ht="28.5">
      <c r="A78" s="10">
        <v>150202</v>
      </c>
      <c r="B78" s="12" t="s">
        <v>99</v>
      </c>
      <c r="C78" s="14"/>
      <c r="D78" s="14"/>
      <c r="E78" s="14"/>
      <c r="F78" s="14">
        <f>G78+J78</f>
        <v>496596.99</v>
      </c>
      <c r="G78" s="14"/>
      <c r="H78" s="14"/>
      <c r="I78" s="14"/>
      <c r="J78" s="14">
        <f>57592+188305+85129.94+25570.05+75000+65000</f>
        <v>496596.99</v>
      </c>
      <c r="K78" s="14">
        <f>57592+188305+85129.94+25570.05+75000+65000</f>
        <v>496596.99</v>
      </c>
      <c r="L78" s="14"/>
      <c r="M78" s="14">
        <f t="shared" si="10"/>
        <v>496596.99</v>
      </c>
    </row>
    <row r="79" spans="1:13" ht="47.25" customHeight="1">
      <c r="A79" s="8">
        <v>170000</v>
      </c>
      <c r="B79" s="21" t="s">
        <v>42</v>
      </c>
      <c r="C79" s="13">
        <f>SUM(C80:C82)</f>
        <v>1490000</v>
      </c>
      <c r="D79" s="13">
        <f>SUM(D80:D82)</f>
        <v>0</v>
      </c>
      <c r="E79" s="13">
        <f>SUM(E80:E82)</f>
        <v>0</v>
      </c>
      <c r="F79" s="13">
        <f>G79+J79</f>
        <v>4089779</v>
      </c>
      <c r="G79" s="13">
        <f aca="true" t="shared" si="12" ref="G79:L79">SUM(G80:G82)</f>
        <v>1890160.2</v>
      </c>
      <c r="H79" s="13">
        <f t="shared" si="12"/>
        <v>0</v>
      </c>
      <c r="I79" s="13">
        <f t="shared" si="12"/>
        <v>0</v>
      </c>
      <c r="J79" s="13">
        <f t="shared" si="12"/>
        <v>2199618.8</v>
      </c>
      <c r="K79" s="13">
        <f t="shared" si="12"/>
        <v>150000</v>
      </c>
      <c r="L79" s="13">
        <f t="shared" si="12"/>
        <v>0</v>
      </c>
      <c r="M79" s="13">
        <f t="shared" si="10"/>
        <v>5579779</v>
      </c>
    </row>
    <row r="80" spans="1:13" ht="42.75">
      <c r="A80" s="10">
        <v>170102</v>
      </c>
      <c r="B80" s="12" t="s">
        <v>43</v>
      </c>
      <c r="C80" s="14">
        <f>36000+1284900+13000+106100</f>
        <v>1440000</v>
      </c>
      <c r="D80" s="14"/>
      <c r="E80" s="14"/>
      <c r="F80" s="14">
        <f aca="true" t="shared" si="13" ref="F80:F96">G80+J80</f>
        <v>0</v>
      </c>
      <c r="G80" s="14"/>
      <c r="H80" s="14"/>
      <c r="I80" s="14"/>
      <c r="J80" s="14"/>
      <c r="K80" s="14"/>
      <c r="L80" s="14"/>
      <c r="M80" s="14">
        <f t="shared" si="10"/>
        <v>1440000</v>
      </c>
    </row>
    <row r="81" spans="1:13" ht="48" customHeight="1">
      <c r="A81" s="10">
        <v>170302</v>
      </c>
      <c r="B81" s="12" t="s">
        <v>77</v>
      </c>
      <c r="C81" s="14">
        <f>50000</f>
        <v>50000</v>
      </c>
      <c r="D81" s="14"/>
      <c r="E81" s="14"/>
      <c r="F81" s="14">
        <f t="shared" si="13"/>
        <v>0</v>
      </c>
      <c r="G81" s="14"/>
      <c r="H81" s="14"/>
      <c r="I81" s="14"/>
      <c r="J81" s="14"/>
      <c r="K81" s="14"/>
      <c r="L81" s="14"/>
      <c r="M81" s="14">
        <f t="shared" si="10"/>
        <v>50000</v>
      </c>
    </row>
    <row r="82" spans="1:13" ht="57">
      <c r="A82" s="10">
        <v>170703</v>
      </c>
      <c r="B82" s="12" t="s">
        <v>44</v>
      </c>
      <c r="C82" s="14"/>
      <c r="D82" s="14"/>
      <c r="E82" s="14"/>
      <c r="F82" s="14">
        <f t="shared" si="13"/>
        <v>4089779</v>
      </c>
      <c r="G82" s="18">
        <f>2169000+323400+46000-1475900+47179+468431.2+263400+48650</f>
        <v>1890160.2</v>
      </c>
      <c r="H82" s="18"/>
      <c r="I82" s="18"/>
      <c r="J82" s="18">
        <f>1475900+560800+61568.8-48650+150000</f>
        <v>2199618.8</v>
      </c>
      <c r="K82" s="14">
        <f>150000</f>
        <v>150000</v>
      </c>
      <c r="L82" s="14"/>
      <c r="M82" s="14">
        <f t="shared" si="10"/>
        <v>4089779</v>
      </c>
    </row>
    <row r="83" spans="1:13" ht="71.25">
      <c r="A83" s="10">
        <v>170703</v>
      </c>
      <c r="B83" s="12" t="s">
        <v>104</v>
      </c>
      <c r="C83" s="14"/>
      <c r="D83" s="14"/>
      <c r="E83" s="14"/>
      <c r="F83" s="14">
        <f t="shared" si="13"/>
        <v>247752</v>
      </c>
      <c r="G83" s="18"/>
      <c r="H83" s="18"/>
      <c r="I83" s="18"/>
      <c r="J83" s="18">
        <f>247752</f>
        <v>247752</v>
      </c>
      <c r="K83" s="14"/>
      <c r="L83" s="14"/>
      <c r="M83" s="14">
        <f t="shared" si="10"/>
        <v>247752</v>
      </c>
    </row>
    <row r="84" spans="1:13" ht="30">
      <c r="A84" s="8">
        <v>180000</v>
      </c>
      <c r="B84" s="21" t="s">
        <v>100</v>
      </c>
      <c r="C84" s="13">
        <f>C85</f>
        <v>0</v>
      </c>
      <c r="D84" s="13">
        <f aca="true" t="shared" si="14" ref="D84:L84">D85</f>
        <v>0</v>
      </c>
      <c r="E84" s="13">
        <f t="shared" si="14"/>
        <v>0</v>
      </c>
      <c r="F84" s="13">
        <f t="shared" si="14"/>
        <v>201681</v>
      </c>
      <c r="G84" s="13">
        <f t="shared" si="14"/>
        <v>0</v>
      </c>
      <c r="H84" s="13">
        <f t="shared" si="14"/>
        <v>0</v>
      </c>
      <c r="I84" s="13">
        <f t="shared" si="14"/>
        <v>0</v>
      </c>
      <c r="J84" s="13">
        <f t="shared" si="14"/>
        <v>201681</v>
      </c>
      <c r="K84" s="13">
        <f t="shared" si="14"/>
        <v>201681</v>
      </c>
      <c r="L84" s="13">
        <f t="shared" si="14"/>
        <v>171681</v>
      </c>
      <c r="M84" s="13">
        <f t="shared" si="10"/>
        <v>201681</v>
      </c>
    </row>
    <row r="85" spans="1:13" ht="57">
      <c r="A85" s="19">
        <v>180409</v>
      </c>
      <c r="B85" s="22" t="s">
        <v>112</v>
      </c>
      <c r="C85" s="14"/>
      <c r="D85" s="14"/>
      <c r="E85" s="14"/>
      <c r="F85" s="14">
        <f>G85+J85</f>
        <v>201681</v>
      </c>
      <c r="G85" s="14"/>
      <c r="H85" s="14"/>
      <c r="I85" s="14"/>
      <c r="J85" s="14">
        <f>K85</f>
        <v>201681</v>
      </c>
      <c r="K85" s="14">
        <f>171681+30000</f>
        <v>201681</v>
      </c>
      <c r="L85" s="14">
        <f>171681</f>
        <v>171681</v>
      </c>
      <c r="M85" s="14">
        <f t="shared" si="10"/>
        <v>201681</v>
      </c>
    </row>
    <row r="86" spans="1:13" ht="45">
      <c r="A86" s="8">
        <v>210000</v>
      </c>
      <c r="B86" s="21" t="s">
        <v>45</v>
      </c>
      <c r="C86" s="13">
        <f>SUM(C87:C89)</f>
        <v>234823.54</v>
      </c>
      <c r="D86" s="13">
        <f aca="true" t="shared" si="15" ref="D86:L86">SUM(D87:D89)</f>
        <v>0</v>
      </c>
      <c r="E86" s="13">
        <f t="shared" si="15"/>
        <v>0</v>
      </c>
      <c r="F86" s="13">
        <f t="shared" si="15"/>
        <v>93448</v>
      </c>
      <c r="G86" s="13">
        <f t="shared" si="15"/>
        <v>0</v>
      </c>
      <c r="H86" s="13">
        <f t="shared" si="15"/>
        <v>0</v>
      </c>
      <c r="I86" s="13">
        <f t="shared" si="15"/>
        <v>0</v>
      </c>
      <c r="J86" s="13">
        <f t="shared" si="15"/>
        <v>93448</v>
      </c>
      <c r="K86" s="13">
        <f t="shared" si="15"/>
        <v>93448</v>
      </c>
      <c r="L86" s="13">
        <f t="shared" si="15"/>
        <v>33198</v>
      </c>
      <c r="M86" s="13">
        <f t="shared" si="10"/>
        <v>328271.54000000004</v>
      </c>
    </row>
    <row r="87" spans="1:13" ht="42.75">
      <c r="A87" s="10">
        <v>210105</v>
      </c>
      <c r="B87" s="12" t="s">
        <v>98</v>
      </c>
      <c r="C87" s="14">
        <f>7321.85+25000+5408.69+23289</f>
        <v>61019.54</v>
      </c>
      <c r="D87" s="14"/>
      <c r="E87" s="14"/>
      <c r="F87" s="14">
        <f t="shared" si="13"/>
        <v>33198</v>
      </c>
      <c r="G87" s="14"/>
      <c r="H87" s="14"/>
      <c r="I87" s="14"/>
      <c r="J87" s="14">
        <f>13200+19998</f>
        <v>33198</v>
      </c>
      <c r="K87" s="14">
        <f>13200+19998</f>
        <v>33198</v>
      </c>
      <c r="L87" s="14">
        <f>13200+19998</f>
        <v>33198</v>
      </c>
      <c r="M87" s="14">
        <f t="shared" si="10"/>
        <v>94217.54000000001</v>
      </c>
    </row>
    <row r="88" spans="1:13" ht="44.25" customHeight="1">
      <c r="A88" s="10">
        <v>210106</v>
      </c>
      <c r="B88" s="20" t="s">
        <v>102</v>
      </c>
      <c r="C88" s="14">
        <f>23804</f>
        <v>23804</v>
      </c>
      <c r="D88" s="14"/>
      <c r="E88" s="14"/>
      <c r="F88" s="14">
        <f>G88+J88</f>
        <v>60250</v>
      </c>
      <c r="G88" s="14"/>
      <c r="H88" s="14"/>
      <c r="I88" s="14"/>
      <c r="J88" s="14">
        <f>24348+5652+27500+2750</f>
        <v>60250</v>
      </c>
      <c r="K88" s="14">
        <f>24348+5652+27500+2750</f>
        <v>60250</v>
      </c>
      <c r="L88" s="14"/>
      <c r="M88" s="14">
        <f t="shared" si="10"/>
        <v>84054</v>
      </c>
    </row>
    <row r="89" spans="1:13" ht="28.5">
      <c r="A89" s="10">
        <v>210110</v>
      </c>
      <c r="B89" s="12" t="s">
        <v>46</v>
      </c>
      <c r="C89" s="14">
        <f>150000</f>
        <v>150000</v>
      </c>
      <c r="D89" s="14"/>
      <c r="E89" s="14"/>
      <c r="F89" s="14">
        <f t="shared" si="13"/>
        <v>0</v>
      </c>
      <c r="G89" s="14"/>
      <c r="H89" s="14"/>
      <c r="I89" s="14"/>
      <c r="J89" s="14">
        <f>K89</f>
        <v>0</v>
      </c>
      <c r="K89" s="14"/>
      <c r="L89" s="14"/>
      <c r="M89" s="14">
        <f t="shared" si="10"/>
        <v>150000</v>
      </c>
    </row>
    <row r="90" spans="1:13" ht="15">
      <c r="A90" s="8">
        <v>240000</v>
      </c>
      <c r="B90" s="21" t="s">
        <v>47</v>
      </c>
      <c r="C90" s="13">
        <f>SUM(C91:C93)</f>
        <v>0</v>
      </c>
      <c r="D90" s="13">
        <f>SUM(D91:D93)</f>
        <v>0</v>
      </c>
      <c r="E90" s="13">
        <f>SUM(E91:E93)</f>
        <v>0</v>
      </c>
      <c r="F90" s="13">
        <f aca="true" t="shared" si="16" ref="F90:L90">SUM(F91:F93)</f>
        <v>464927</v>
      </c>
      <c r="G90" s="13">
        <f t="shared" si="16"/>
        <v>96600</v>
      </c>
      <c r="H90" s="13">
        <f t="shared" si="16"/>
        <v>0</v>
      </c>
      <c r="I90" s="13">
        <f t="shared" si="16"/>
        <v>0</v>
      </c>
      <c r="J90" s="13">
        <f t="shared" si="16"/>
        <v>368327</v>
      </c>
      <c r="K90" s="13">
        <f t="shared" si="16"/>
        <v>0</v>
      </c>
      <c r="L90" s="13">
        <f t="shared" si="16"/>
        <v>0</v>
      </c>
      <c r="M90" s="13">
        <f t="shared" si="10"/>
        <v>464927</v>
      </c>
    </row>
    <row r="91" spans="1:13" ht="28.5">
      <c r="A91" s="10">
        <v>240601</v>
      </c>
      <c r="B91" s="12" t="s">
        <v>48</v>
      </c>
      <c r="C91" s="14"/>
      <c r="D91" s="14"/>
      <c r="E91" s="14"/>
      <c r="F91" s="14">
        <f t="shared" si="13"/>
        <v>60000</v>
      </c>
      <c r="G91" s="14">
        <f>60000</f>
        <v>60000</v>
      </c>
      <c r="H91" s="14"/>
      <c r="I91" s="14"/>
      <c r="J91" s="14"/>
      <c r="K91" s="14"/>
      <c r="L91" s="14"/>
      <c r="M91" s="14">
        <f t="shared" si="10"/>
        <v>60000</v>
      </c>
    </row>
    <row r="92" spans="1:13" ht="15">
      <c r="A92" s="10">
        <v>240602</v>
      </c>
      <c r="B92" s="12" t="s">
        <v>72</v>
      </c>
      <c r="C92" s="14"/>
      <c r="D92" s="14"/>
      <c r="E92" s="14"/>
      <c r="F92" s="14">
        <f t="shared" si="13"/>
        <v>281219</v>
      </c>
      <c r="G92" s="14">
        <f>35700+900</f>
        <v>36600</v>
      </c>
      <c r="H92" s="14"/>
      <c r="I92" s="14"/>
      <c r="J92" s="14">
        <f>40000+11300+193319</f>
        <v>244619</v>
      </c>
      <c r="K92" s="14"/>
      <c r="L92" s="14"/>
      <c r="M92" s="14">
        <f t="shared" si="10"/>
        <v>281219</v>
      </c>
    </row>
    <row r="93" spans="1:13" ht="57">
      <c r="A93" s="10">
        <v>240900</v>
      </c>
      <c r="B93" s="11" t="s">
        <v>109</v>
      </c>
      <c r="C93" s="18"/>
      <c r="D93" s="18"/>
      <c r="E93" s="18"/>
      <c r="F93" s="18">
        <f>G93+J93</f>
        <v>123708</v>
      </c>
      <c r="G93" s="18"/>
      <c r="H93" s="18"/>
      <c r="I93" s="18"/>
      <c r="J93" s="18">
        <f>123708</f>
        <v>123708</v>
      </c>
      <c r="K93" s="18"/>
      <c r="L93" s="18"/>
      <c r="M93" s="18">
        <f t="shared" si="10"/>
        <v>123708</v>
      </c>
    </row>
    <row r="94" spans="1:13" ht="30">
      <c r="A94" s="8">
        <v>250000</v>
      </c>
      <c r="B94" s="21" t="s">
        <v>49</v>
      </c>
      <c r="C94" s="13">
        <f>SUM(C95:C96)</f>
        <v>391067.70999999996</v>
      </c>
      <c r="D94" s="13">
        <f>SUM(D95:D96)</f>
        <v>0</v>
      </c>
      <c r="E94" s="13">
        <f>SUM(E95:E96)</f>
        <v>0</v>
      </c>
      <c r="F94" s="13">
        <f>G94+J94</f>
        <v>0</v>
      </c>
      <c r="G94" s="13">
        <f aca="true" t="shared" si="17" ref="G94:L94">SUM(G95:G96)</f>
        <v>0</v>
      </c>
      <c r="H94" s="13">
        <f t="shared" si="17"/>
        <v>0</v>
      </c>
      <c r="I94" s="13">
        <f t="shared" si="17"/>
        <v>0</v>
      </c>
      <c r="J94" s="13">
        <f t="shared" si="17"/>
        <v>0</v>
      </c>
      <c r="K94" s="13">
        <f t="shared" si="17"/>
        <v>0</v>
      </c>
      <c r="L94" s="13">
        <f t="shared" si="17"/>
        <v>0</v>
      </c>
      <c r="M94" s="13">
        <f t="shared" si="10"/>
        <v>391067.70999999996</v>
      </c>
    </row>
    <row r="95" spans="1:13" ht="15">
      <c r="A95" s="10">
        <v>250102</v>
      </c>
      <c r="B95" s="12" t="s">
        <v>50</v>
      </c>
      <c r="C95" s="14">
        <f>100000-7321.85-5680-25000-13200-5408.69-19998-23289</f>
        <v>102.45999999999185</v>
      </c>
      <c r="D95" s="14"/>
      <c r="E95" s="14"/>
      <c r="F95" s="14">
        <f t="shared" si="13"/>
        <v>0</v>
      </c>
      <c r="G95" s="14"/>
      <c r="H95" s="14"/>
      <c r="I95" s="14"/>
      <c r="J95" s="14"/>
      <c r="K95" s="14"/>
      <c r="L95" s="14"/>
      <c r="M95" s="14">
        <f t="shared" si="10"/>
        <v>102.45999999999185</v>
      </c>
    </row>
    <row r="96" spans="1:13" ht="15">
      <c r="A96" s="10">
        <v>250404</v>
      </c>
      <c r="B96" s="12" t="s">
        <v>51</v>
      </c>
      <c r="C96" s="14">
        <f>300000+90965.25</f>
        <v>390965.25</v>
      </c>
      <c r="D96" s="14"/>
      <c r="E96" s="14"/>
      <c r="F96" s="14">
        <f t="shared" si="13"/>
        <v>0</v>
      </c>
      <c r="G96" s="14"/>
      <c r="H96" s="14"/>
      <c r="I96" s="14"/>
      <c r="J96" s="14"/>
      <c r="K96" s="14"/>
      <c r="L96" s="14"/>
      <c r="M96" s="14">
        <f t="shared" si="10"/>
        <v>390965.25</v>
      </c>
    </row>
    <row r="97" spans="1:13" ht="15">
      <c r="A97" s="27" t="s">
        <v>58</v>
      </c>
      <c r="B97" s="28"/>
      <c r="C97" s="13">
        <f aca="true" t="shared" si="18" ref="C97:L97">C94+C90+C86+C79+C76+C73+C70+C64+C59+C22+C13+C11+C84</f>
        <v>104746670.53</v>
      </c>
      <c r="D97" s="13">
        <f t="shared" si="18"/>
        <v>33002536</v>
      </c>
      <c r="E97" s="13">
        <f t="shared" si="18"/>
        <v>5898078</v>
      </c>
      <c r="F97" s="13">
        <f t="shared" si="18"/>
        <v>10941446.08</v>
      </c>
      <c r="G97" s="13">
        <f t="shared" si="18"/>
        <v>4228500.2</v>
      </c>
      <c r="H97" s="13">
        <f t="shared" si="18"/>
        <v>372111</v>
      </c>
      <c r="I97" s="13">
        <f t="shared" si="18"/>
        <v>14087</v>
      </c>
      <c r="J97" s="13">
        <f t="shared" si="18"/>
        <v>6712945.880000001</v>
      </c>
      <c r="K97" s="13">
        <f t="shared" si="18"/>
        <v>4117900.08</v>
      </c>
      <c r="L97" s="13">
        <f t="shared" si="18"/>
        <v>401505</v>
      </c>
      <c r="M97" s="13">
        <f t="shared" si="10"/>
        <v>115688116.61</v>
      </c>
    </row>
    <row r="98" spans="1:13" ht="15">
      <c r="A98" s="8" t="s">
        <v>52</v>
      </c>
      <c r="B98" s="9"/>
      <c r="C98" s="13">
        <f>C99</f>
        <v>20176200</v>
      </c>
      <c r="D98" s="13">
        <f>D99</f>
        <v>0</v>
      </c>
      <c r="E98" s="13">
        <f>E99</f>
        <v>0</v>
      </c>
      <c r="F98" s="13">
        <f>G98+J98</f>
        <v>900000</v>
      </c>
      <c r="G98" s="13">
        <f aca="true" t="shared" si="19" ref="G98:L98">G99</f>
        <v>0</v>
      </c>
      <c r="H98" s="13">
        <f t="shared" si="19"/>
        <v>0</v>
      </c>
      <c r="I98" s="13">
        <f t="shared" si="19"/>
        <v>0</v>
      </c>
      <c r="J98" s="13">
        <f t="shared" si="19"/>
        <v>900000</v>
      </c>
      <c r="K98" s="13">
        <f t="shared" si="19"/>
        <v>900000</v>
      </c>
      <c r="L98" s="13">
        <f t="shared" si="19"/>
        <v>0</v>
      </c>
      <c r="M98" s="13">
        <f t="shared" si="10"/>
        <v>21076200</v>
      </c>
    </row>
    <row r="99" spans="1:13" ht="15">
      <c r="A99" s="36" t="s">
        <v>53</v>
      </c>
      <c r="B99" s="37"/>
      <c r="C99" s="13">
        <f>SUM(C100:C101)</f>
        <v>20176200</v>
      </c>
      <c r="D99" s="13">
        <f aca="true" t="shared" si="20" ref="D99:L99">SUM(D100:D101)</f>
        <v>0</v>
      </c>
      <c r="E99" s="13">
        <f t="shared" si="20"/>
        <v>0</v>
      </c>
      <c r="F99" s="13">
        <f>SUM(F100:F102)</f>
        <v>900000</v>
      </c>
      <c r="G99" s="13">
        <f t="shared" si="20"/>
        <v>0</v>
      </c>
      <c r="H99" s="13">
        <f t="shared" si="20"/>
        <v>0</v>
      </c>
      <c r="I99" s="13">
        <f t="shared" si="20"/>
        <v>0</v>
      </c>
      <c r="J99" s="13">
        <f>SUM(J100:J102)</f>
        <v>900000</v>
      </c>
      <c r="K99" s="13">
        <f>SUM(K100:K102)</f>
        <v>900000</v>
      </c>
      <c r="L99" s="13">
        <f t="shared" si="20"/>
        <v>0</v>
      </c>
      <c r="M99" s="13">
        <f t="shared" si="10"/>
        <v>21076200</v>
      </c>
    </row>
    <row r="100" spans="1:13" s="3" customFormat="1" ht="57">
      <c r="A100" s="10">
        <v>250344</v>
      </c>
      <c r="B100" s="23" t="s">
        <v>103</v>
      </c>
      <c r="C100" s="14"/>
      <c r="D100" s="14"/>
      <c r="E100" s="14"/>
      <c r="F100" s="14">
        <f>800000</f>
        <v>800000</v>
      </c>
      <c r="G100" s="14"/>
      <c r="H100" s="14"/>
      <c r="I100" s="14"/>
      <c r="J100" s="14">
        <f>800000</f>
        <v>800000</v>
      </c>
      <c r="K100" s="14">
        <f>800000</f>
        <v>800000</v>
      </c>
      <c r="L100" s="14"/>
      <c r="M100" s="14">
        <f t="shared" si="10"/>
        <v>800000</v>
      </c>
    </row>
    <row r="101" spans="1:13" ht="57">
      <c r="A101" s="10">
        <v>250352</v>
      </c>
      <c r="B101" s="11" t="s">
        <v>93</v>
      </c>
      <c r="C101" s="14">
        <f>20176200</f>
        <v>20176200</v>
      </c>
      <c r="D101" s="14"/>
      <c r="E101" s="14"/>
      <c r="F101" s="14">
        <f>G101+J101</f>
        <v>0</v>
      </c>
      <c r="G101" s="14"/>
      <c r="H101" s="14"/>
      <c r="I101" s="14"/>
      <c r="J101" s="14"/>
      <c r="K101" s="14"/>
      <c r="L101" s="14"/>
      <c r="M101" s="14">
        <f t="shared" si="10"/>
        <v>20176200</v>
      </c>
    </row>
    <row r="102" spans="1:13" ht="15">
      <c r="A102" s="24">
        <v>250380</v>
      </c>
      <c r="B102" s="25" t="s">
        <v>110</v>
      </c>
      <c r="C102" s="14">
        <v>0</v>
      </c>
      <c r="D102" s="14"/>
      <c r="E102" s="14"/>
      <c r="F102" s="14">
        <f>G102+J102</f>
        <v>100000</v>
      </c>
      <c r="G102" s="14"/>
      <c r="H102" s="14"/>
      <c r="I102" s="14"/>
      <c r="J102" s="14">
        <f>100000</f>
        <v>100000</v>
      </c>
      <c r="K102" s="14">
        <f>100000</f>
        <v>100000</v>
      </c>
      <c r="L102" s="14"/>
      <c r="M102" s="14">
        <f t="shared" si="10"/>
        <v>100000</v>
      </c>
    </row>
    <row r="103" spans="1:13" ht="15">
      <c r="A103" s="27" t="s">
        <v>57</v>
      </c>
      <c r="B103" s="28"/>
      <c r="C103" s="13">
        <f>C98+C97</f>
        <v>124922870.53</v>
      </c>
      <c r="D103" s="13">
        <f aca="true" t="shared" si="21" ref="D103:M103">D98+D97</f>
        <v>33002536</v>
      </c>
      <c r="E103" s="13">
        <f t="shared" si="21"/>
        <v>5898078</v>
      </c>
      <c r="F103" s="13">
        <f t="shared" si="21"/>
        <v>11841446.08</v>
      </c>
      <c r="G103" s="13">
        <f t="shared" si="21"/>
        <v>4228500.2</v>
      </c>
      <c r="H103" s="13">
        <f t="shared" si="21"/>
        <v>372111</v>
      </c>
      <c r="I103" s="13">
        <f t="shared" si="21"/>
        <v>14087</v>
      </c>
      <c r="J103" s="13">
        <f t="shared" si="21"/>
        <v>7612945.880000001</v>
      </c>
      <c r="K103" s="13">
        <f t="shared" si="21"/>
        <v>5017900.08</v>
      </c>
      <c r="L103" s="13">
        <f t="shared" si="21"/>
        <v>401505</v>
      </c>
      <c r="M103" s="13">
        <f t="shared" si="21"/>
        <v>136764316.61</v>
      </c>
    </row>
    <row r="105" spans="2:7" ht="15">
      <c r="B105" s="1" t="s">
        <v>54</v>
      </c>
      <c r="D105" s="42"/>
      <c r="E105" s="42"/>
      <c r="G105" s="1" t="s">
        <v>55</v>
      </c>
    </row>
  </sheetData>
  <sheetProtection/>
  <mergeCells count="24">
    <mergeCell ref="D105:E105"/>
    <mergeCell ref="M6:M9"/>
    <mergeCell ref="F7:F9"/>
    <mergeCell ref="H8:H9"/>
    <mergeCell ref="I8:I9"/>
    <mergeCell ref="G7:G9"/>
    <mergeCell ref="H7:I7"/>
    <mergeCell ref="J2:M2"/>
    <mergeCell ref="A4:M4"/>
    <mergeCell ref="C6:E6"/>
    <mergeCell ref="A99:B99"/>
    <mergeCell ref="A3:M3"/>
    <mergeCell ref="K7:L7"/>
    <mergeCell ref="D7:E7"/>
    <mergeCell ref="J7:J9"/>
    <mergeCell ref="F6:L6"/>
    <mergeCell ref="K8:K9"/>
    <mergeCell ref="A103:B103"/>
    <mergeCell ref="E8:E9"/>
    <mergeCell ref="C7:C9"/>
    <mergeCell ref="A6:A9"/>
    <mergeCell ref="B6:B9"/>
    <mergeCell ref="A97:B97"/>
    <mergeCell ref="D8:D9"/>
  </mergeCells>
  <printOptions/>
  <pageMargins left="0.11811023622047245" right="0" top="0.1968503937007874" bottom="0.1968503937007874" header="0" footer="0"/>
  <pageSetup horizontalDpi="600" verticalDpi="600" orientation="landscape" paperSize="9" scale="7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Biliavets</cp:lastModifiedBy>
  <cp:lastPrinted>2012-11-07T06:44:19Z</cp:lastPrinted>
  <dcterms:created xsi:type="dcterms:W3CDTF">2010-04-28T10:22:23Z</dcterms:created>
  <dcterms:modified xsi:type="dcterms:W3CDTF">2012-11-26T09:37:07Z</dcterms:modified>
  <cp:category/>
  <cp:version/>
  <cp:contentType/>
  <cp:contentStatus/>
</cp:coreProperties>
</file>