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'Лист1'!$8:$10</definedName>
    <definedName name="_xlnm.Print_Area" localSheetId="0">'Лист1'!$A$1:$K$64</definedName>
  </definedNames>
  <calcPr fullCalcOnLoad="1"/>
</workbook>
</file>

<file path=xl/sharedStrings.xml><?xml version="1.0" encoding="utf-8"?>
<sst xmlns="http://schemas.openxmlformats.org/spreadsheetml/2006/main" count="274" uniqueCount="213">
  <si>
    <t>Загальний фонд</t>
  </si>
  <si>
    <t xml:space="preserve">Спеціальний фонд </t>
  </si>
  <si>
    <t>Секретар міської ради</t>
  </si>
  <si>
    <t>0316130</t>
  </si>
  <si>
    <t>0620</t>
  </si>
  <si>
    <t>0316060</t>
  </si>
  <si>
    <t>0316650</t>
  </si>
  <si>
    <t>0456</t>
  </si>
  <si>
    <t>0512</t>
  </si>
  <si>
    <t>0451</t>
  </si>
  <si>
    <t>Утилізація відходів</t>
  </si>
  <si>
    <t>0300000</t>
  </si>
  <si>
    <r>
      <t xml:space="preserve">Виконавчий комітет міської ради </t>
    </r>
    <r>
      <rPr>
        <sz val="11"/>
        <color indexed="8"/>
        <rFont val="Times New Roman"/>
        <family val="1"/>
      </rPr>
      <t>(головний розпорядник)</t>
    </r>
  </si>
  <si>
    <t>0310000</t>
  </si>
  <si>
    <r>
      <t>Виконавчий комітет міської ради</t>
    </r>
    <r>
      <rPr>
        <sz val="11"/>
        <color indexed="8"/>
        <rFont val="Times New Roman"/>
        <family val="1"/>
      </rPr>
      <t xml:space="preserve"> (відповідальний виконавець)</t>
    </r>
  </si>
  <si>
    <t>1500000</t>
  </si>
  <si>
    <r>
      <t xml:space="preserve">Управління  соціального захисту населення виконавчого комітету міської ради </t>
    </r>
    <r>
      <rPr>
        <sz val="11"/>
        <color indexed="8"/>
        <rFont val="Times New Roman"/>
        <family val="1"/>
      </rPr>
      <t>(головний розпорядник)</t>
    </r>
  </si>
  <si>
    <r>
      <t xml:space="preserve">Управління  соціального захисту населення виконавчого комітету міської ради </t>
    </r>
    <r>
      <rPr>
        <sz val="11"/>
        <color indexed="8"/>
        <rFont val="Times New Roman"/>
        <family val="1"/>
      </rPr>
      <t>(відповідальний виконавець)</t>
    </r>
  </si>
  <si>
    <t>1513143</t>
  </si>
  <si>
    <t>КПКВ</t>
  </si>
  <si>
    <t>0200000</t>
  </si>
  <si>
    <t>0210000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</si>
  <si>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</si>
  <si>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</si>
  <si>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 - комунальні послуги</t>
  </si>
  <si>
    <t>0218312</t>
  </si>
  <si>
    <t>8312</t>
  </si>
  <si>
    <t>0216030</t>
  </si>
  <si>
    <t>6030</t>
  </si>
  <si>
    <t>0800000</t>
  </si>
  <si>
    <t>0817413</t>
  </si>
  <si>
    <t>7413</t>
  </si>
  <si>
    <t>Інші заходи у сфері автотранспорту</t>
  </si>
  <si>
    <t>1513400</t>
  </si>
  <si>
    <t>0180</t>
  </si>
  <si>
    <t>Інші заходи у сфері соціального захисту і соціального забезпечення</t>
  </si>
  <si>
    <t>3242</t>
  </si>
  <si>
    <t>0813242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</si>
  <si>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</si>
  <si>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</si>
  <si>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</si>
  <si>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</si>
  <si>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</si>
  <si>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</si>
  <si>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</si>
  <si>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</si>
  <si>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</si>
  <si>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>УСЬОГО</t>
  </si>
  <si>
    <t>Програма забезпечення проїзду учнів навчальних закладів міста Старокостянтинова на 2019 - 2022 навчальний рік</t>
  </si>
  <si>
    <t>0210180</t>
  </si>
  <si>
    <t>0133</t>
  </si>
  <si>
    <t xml:space="preserve">Інша діяльність у сфері державного управління </t>
  </si>
  <si>
    <t>4082</t>
  </si>
  <si>
    <t>0829</t>
  </si>
  <si>
    <t>Інші заходи в галузі культури і  мистецтва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</si>
  <si>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</si>
  <si>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</si>
  <si>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</si>
  <si>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</si>
  <si>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Комплексна програма розвитку фізичної культури та спорту м.Старокостянтинів на 2017 -2021 роки</t>
  </si>
  <si>
    <t>0217461</t>
  </si>
  <si>
    <t>7461</t>
  </si>
  <si>
    <t>1040</t>
  </si>
  <si>
    <t>1000000</t>
  </si>
  <si>
    <t>0810000</t>
  </si>
  <si>
    <t>Міська програма соціального захисту населення  до 2021 року</t>
  </si>
  <si>
    <t>0813123</t>
  </si>
  <si>
    <t>3123</t>
  </si>
  <si>
    <t>0813160</t>
  </si>
  <si>
    <t>3160</t>
  </si>
  <si>
    <t>1010</t>
  </si>
  <si>
    <t>Заходи державної політики з питань сім"ї</t>
  </si>
  <si>
    <t>рішення 16 сесії Старокостянтинівської міської ради від 27.12.2016  №13</t>
  </si>
  <si>
    <t>рішення 17 сесії Старокостянтинівської міської ради від 17.02.2017  №24</t>
  </si>
  <si>
    <t xml:space="preserve">Надання  соціальних гарантій  фізичним особам, які надають соціальні послуги громадянам  похилого віку, особам з інва-лідністю,  дітям з інвалідністю, хворим, які не здатні до само-обслуговування і потребують сторонної допомоги </t>
  </si>
  <si>
    <t>Надання фінансової підтримки громадським організаціям осіб з інвалідністю і ветеранів, діяль-ність яких має соціальну спрямованість</t>
  </si>
  <si>
    <t>1010000</t>
  </si>
  <si>
    <t>1014082</t>
  </si>
  <si>
    <r>
      <t xml:space="preserve">Управління  ресурсів та культурної політики виконавчого комітету міської ради </t>
    </r>
    <r>
      <rPr>
        <sz val="11"/>
        <color indexed="8"/>
        <rFont val="Times New Roman"/>
        <family val="1"/>
      </rPr>
      <t>(головний розпорядник)</t>
    </r>
  </si>
  <si>
    <r>
      <t xml:space="preserve">Управління  ресурсів та культурної політики виконавчого комітету міської ради </t>
    </r>
    <r>
      <rPr>
        <sz val="11"/>
        <color indexed="8"/>
        <rFont val="Times New Roman"/>
        <family val="1"/>
      </rPr>
      <t>(відповідальний виконавець)</t>
    </r>
  </si>
  <si>
    <t>0600000</t>
  </si>
  <si>
    <r>
      <t xml:space="preserve">Управління освіти виконавчого комітету міської ради  </t>
    </r>
    <r>
      <rPr>
        <sz val="11"/>
        <color indexed="8"/>
        <rFont val="Times New Roman"/>
        <family val="1"/>
      </rPr>
      <t>(головний розпорядник)</t>
    </r>
  </si>
  <si>
    <t>0610000</t>
  </si>
  <si>
    <r>
      <t xml:space="preserve">Управління освіти виконавчого комітету міської ради </t>
    </r>
    <r>
      <rPr>
        <sz val="11"/>
        <color indexed="8"/>
        <rFont val="Times New Roman"/>
        <family val="1"/>
      </rPr>
      <t>(відповідальний виконавець)</t>
    </r>
  </si>
  <si>
    <t>0613140</t>
  </si>
  <si>
    <t>3140</t>
  </si>
  <si>
    <t>0990</t>
  </si>
  <si>
    <t>Програма оздоровлення та відпочинку дітей м.Старокостянтинова на 2019 -2023 роки</t>
  </si>
  <si>
    <t>рішення 32 сесії Старокостянтинівської міської ради від 21.12.2018 №10</t>
  </si>
  <si>
    <t>0813192</t>
  </si>
  <si>
    <t>3192</t>
  </si>
  <si>
    <t>1030</t>
  </si>
  <si>
    <t>1070</t>
  </si>
  <si>
    <t>рішення 34 сесії Старокостянтинівської міської ради від 24.05.2019 №36</t>
  </si>
  <si>
    <t>рішення 17 сесії Старокостянтинівської міської ради від 17.02.2017  №19</t>
  </si>
  <si>
    <t>рішення 35 сесії Старокостянтинівської міської ради від 30.08.2019  №34</t>
  </si>
  <si>
    <t>0215012</t>
  </si>
  <si>
    <t>5012</t>
  </si>
  <si>
    <t>Проведення навчально-тренувальних зборів і змагань з неолімпійських видів спорту</t>
  </si>
  <si>
    <t>рішення 23 сесії Старокостянтинівської міської ради від 24.11.2017 №8</t>
  </si>
  <si>
    <t xml:space="preserve">Організація благоустрою населених пунктів </t>
  </si>
  <si>
    <t>0218120</t>
  </si>
  <si>
    <t>8120</t>
  </si>
  <si>
    <t>0320</t>
  </si>
  <si>
    <t>Заходи з організації рятування на водах</t>
  </si>
  <si>
    <t>0218410</t>
  </si>
  <si>
    <t>8410</t>
  </si>
  <si>
    <t>0830</t>
  </si>
  <si>
    <t xml:space="preserve">Фінансова підтримка засобів масової інформації </t>
  </si>
  <si>
    <t>0218110</t>
  </si>
  <si>
    <t>8110</t>
  </si>
  <si>
    <t>Заходи запобігання та ліквідації надзвичайних ситуацій та наслідків стихійного лиха</t>
  </si>
  <si>
    <t>Програма діяльності та розвитку комунального підприємства по екслуатації теплового господарства  "Тепловик " Старокостянтиинівської міської ради на 2019 - 2021 роки</t>
  </si>
  <si>
    <t>Програма охорони навколишнього середовища  містаСтарокостянтинова на 2019 - 2023 роки</t>
  </si>
  <si>
    <t>рішення 34 сесії Старокостянтинівської міської ради від 24.05.2019  №39</t>
  </si>
  <si>
    <t>0218311</t>
  </si>
  <si>
    <t>8311</t>
  </si>
  <si>
    <t>0511</t>
  </si>
  <si>
    <t>Охорона та раціональне використання природних ресурсів</t>
  </si>
  <si>
    <t xml:space="preserve"> Комплексна програма соціальної підтримки учасників АТО, операції Об'єднаних силі, членів їх сімей, сімей загиблих учасників  АТО, операції Об'єднаних сил, постраждалих учасників Революції Гідності, учасників - добровольців, які брали участь у захисті територіальної цілісності та державного суверенітету на Сході України та вшанування пам'яті загиблих  на 2019 -2023 роки</t>
  </si>
  <si>
    <t>код бюджету</t>
  </si>
  <si>
    <t>грн</t>
  </si>
  <si>
    <t>0217680</t>
  </si>
  <si>
    <t>7680</t>
  </si>
  <si>
    <t>0490</t>
  </si>
  <si>
    <t>Членські внески до асоціацій органів місцевого самоврядування</t>
  </si>
  <si>
    <t>рішення сесії Старокостянтинівської міської ради від 28.08.2020  №22/42/VII</t>
  </si>
  <si>
    <t>Утримання та розвиток  автомобільних доріг та дорожньої інфраструктури за рахунок коштів місцевого бюджету</t>
  </si>
  <si>
    <t>0216012</t>
  </si>
  <si>
    <t>6012</t>
  </si>
  <si>
    <t>Забезпечення діяльності з виробництва, транспортування, постачання теплової енергії</t>
  </si>
  <si>
    <t xml:space="preserve">Програма забезпечення проїзду дітей шкільного віку, що проживають у районі  ІІ Вокзалу, до навчальних закладів міста Старокостянтинова та у зворотньому напрямку на 2017 - 2021 роки </t>
  </si>
  <si>
    <t>22552000000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</si>
  <si>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</si>
  <si>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</si>
  <si>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</si>
  <si>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 - санітарної) допомоги</t>
  </si>
  <si>
    <t>Програма щодо забезпечення заходів Старокостянтинівської міської ради та її виконавчих органів на 2021 - 2025 роки</t>
  </si>
  <si>
    <t>Програма охорони здоров'я  Старокостянтиівської міської територіальної громади на 2021 - 2023 роки</t>
  </si>
  <si>
    <t>рішення сесії Старокостянтинівської міської ради від 28.12.2020  №6/2/VIII</t>
  </si>
  <si>
    <t>Програма діяльності та розвитку комунального  рідприємства "Ремонтно-будівне шляхое підприємство" на 2021-2023 роки</t>
  </si>
  <si>
    <t>Програма діяльності та розвитку малого комунального підприємства "Міськсвітло" на 2021-2023 роки</t>
  </si>
  <si>
    <t>Програма діяльності та розвитку комунального підприємства комбінату комунальних підприємств Старокостянтинівської міської ради  на 2021-2023 роки</t>
  </si>
  <si>
    <t>Програма діяльності та розвитку Старокостянтинівського радіомовлення на 2021-2023 роки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</si>
  <si>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</si>
  <si>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рішення сесії Старокостянтинівської міської ради від 28.12.2020  №7/2/VIII</t>
  </si>
  <si>
    <t>Програма підтримки сімей на період до 2025 року</t>
  </si>
  <si>
    <t>рішення сесії Старокостянтинівської міської ради від 28.12.2020  №8/2/VIII</t>
  </si>
  <si>
    <t>Цільова програма надання допомоги соціально незахищеним верствам населення Старокостянтинівської міської територіальної громади на вирішення соціально - побутових проблем на 2021- 2026 роки</t>
  </si>
  <si>
    <t>рішення сесії Старокостянтинівської міської ради від 28.12.2020  №9/2/VIII</t>
  </si>
  <si>
    <t>Програма розвитку культури, охорони культурної спадщини  та туризму Старокостянтинівської міської територіальної громади  на 2021 - 2025 роки</t>
  </si>
  <si>
    <t>0219800</t>
  </si>
  <si>
    <t>9800</t>
  </si>
  <si>
    <t>Субвенція з місцевого бюджету державному бюджету на виконання програм соціально - економічного розвитку регіонів</t>
  </si>
  <si>
    <t>Програма щодо забезпечення надходжень до бюджетів усіх рівнів, створення сприятливих умов платникам податків та належного їх обслуговування на 2019 -2021 роки</t>
  </si>
  <si>
    <t>рішення 33 сесії Старокостянтинівської міської ради від 15.03.2019 №27</t>
  </si>
  <si>
    <t>0212010</t>
  </si>
  <si>
    <t>2010</t>
  </si>
  <si>
    <t>0731</t>
  </si>
  <si>
    <t>Багатопрофільна стаціонарна медична допомога населенню</t>
  </si>
  <si>
    <t xml:space="preserve">Комплексна програма мобілізації зусиль Старокостянтинівської міської ради, її виконавчих органів і Управління державної міграційної служби України в Хмельницькій області щодо забезпечення реалізації державної міграційної політики на 2019 -2023 роки </t>
  </si>
  <si>
    <t>рішення 33 сесії Старокостянтинівської міської ради від 15.03.2019 №28</t>
  </si>
  <si>
    <t>7670</t>
  </si>
  <si>
    <t>0217670</t>
  </si>
  <si>
    <t>Внески до статутного капіталу суб`єктів господарювання</t>
  </si>
  <si>
    <t>рішення Старокостянтинівської міської ради від 28.12.2020  №5/2/VIII</t>
  </si>
  <si>
    <t>рішення  Старокостянтинівської міської ради від 28.12.2020  №10/2/VIII</t>
  </si>
  <si>
    <t>рішення  Старокостянтинівської міської ради від 28.12.2020  №6/2/VIII</t>
  </si>
  <si>
    <t>Програма діяльності та розвитку Старокостянтинівської житлово  експлуатаційної контори  на 2021-2023 роки</t>
  </si>
  <si>
    <t>рішення  Старокостянтинівської міської ради від 26.02.2021  №97/3/VIII</t>
  </si>
  <si>
    <t>Програма захисту населення і території  від надзвичайних ситуацій техногенного та природного характеру, забезпечення пожежної та техногенної безпеки на території Старокостянти-нівської міської територіальної громади  на 2021 -2025 роки</t>
  </si>
  <si>
    <t>Програма організації громадських робіт на території Старокостянтинівської міської територіальної громади на 2021 - 2023 роки</t>
  </si>
  <si>
    <t>рішення  Старокостянтинівської міської ради від 26.02.2021  №50/3/VIII</t>
  </si>
  <si>
    <t>рішення  Старокостянтинівської міської ради від 26.02.2021  №92/3/VIII</t>
  </si>
  <si>
    <t>0213133</t>
  </si>
  <si>
    <t>3133</t>
  </si>
  <si>
    <t>Інші заходи та заклади молодіжної політики</t>
  </si>
  <si>
    <t>Цільова соціальна програма "Молодь Старокостянтинівської міської територіальної громади" на 2021 - 2025 роки</t>
  </si>
  <si>
    <t>Міська цільова соціальна програма національно - патріотичного виховання дітей та молоді на 2019 - 2022 роки</t>
  </si>
  <si>
    <t>рішення 33 сесії Старокостянтинівської міської ради від 15.03.2019  №38</t>
  </si>
  <si>
    <t>Програма фінансування заходів оборонної роботи, мобілізаційної підготовки у Старокостянтинівській міській територіальній громаді в 2021 - 2023 роках</t>
  </si>
  <si>
    <t>рішення  Старокостянтинівської міської ради від 15.03.2019  №37/33/VII</t>
  </si>
  <si>
    <t>0215041</t>
  </si>
  <si>
    <t>5041</t>
  </si>
  <si>
    <t>Міська програмам "Спортивно - ігровий майданчик" на 2019 - 2022 роки</t>
  </si>
  <si>
    <t>Утримання та фінансова підтримка спортивних споруд</t>
  </si>
  <si>
    <t>Інша діяльність у сфері державного управління</t>
  </si>
  <si>
    <t>0212152</t>
  </si>
  <si>
    <t>2152</t>
  </si>
  <si>
    <t>Інші програми та заходи у сфері охорони здоров`я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</si>
  <si>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</si>
  <si>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</si>
  <si>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</si>
  <si>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</si>
  <si>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Організація та проведення громадських робіт</t>
  </si>
  <si>
    <t>0813210</t>
  </si>
  <si>
    <t>3210</t>
  </si>
  <si>
    <t>1050</t>
  </si>
  <si>
    <t>рішення  Старокостянтинівської міської ради від 26.02.2021  №45/3/VIII</t>
  </si>
  <si>
    <t>Програма будівництва, реконструкції, ремонту та утримання місцевих автомобільних доріг загального користування в м.Старокостянтинів на 2020-2023 роки</t>
  </si>
  <si>
    <t>Проєкт програми діяльності та розвитку комунальної установи "Аварійно-рятувальна служба Старокостянтинівської міської ради" на 2021-2023 роки</t>
  </si>
  <si>
    <t>Проєк Комплексної програма сприяння діяльності правоохоронних органів у Старокостянтинівській міській територіальній громаді на 2021-2025 роки</t>
  </si>
  <si>
    <t>Проєкт програми підтримки індивідуального житлового будівництва на селі "Власний дім" Старокостянтинівської міської ради на 2021-2030 роки</t>
  </si>
  <si>
    <t>Надання довгострокових кредитів індивідуальним забудовникам житла на селі</t>
  </si>
  <si>
    <t>1060</t>
  </si>
  <si>
    <t>8831</t>
  </si>
  <si>
    <t>0218831</t>
  </si>
  <si>
    <t>Внески до статутного капіталу суб'єктів господарювання</t>
  </si>
  <si>
    <t>Додаток 7</t>
  </si>
  <si>
    <t>Розподіл  витрат бюджету Старокостянтинівської міської територіальної громади  на реалізацію місцевих/регіональних програм у 2021 році</t>
  </si>
  <si>
    <t xml:space="preserve">до  рішення міської ради                                           від 28 травня 2021 року                                                           № 11/5/VIII </t>
  </si>
  <si>
    <t>Олександр СТЕПАНИШИН</t>
  </si>
  <si>
    <t>підпис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</si>
</sst>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#0"/>
    <numFmt numFmtId="204" formatCode="[$]dddd\,\ d\ mmmm\ yyyy\ &quot;г&quot;\."/>
  </numFmts>
  <fonts count="6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>
      <alignment/>
      <protection/>
    </xf>
    <xf numFmtId="0" fontId="49" fillId="0" borderId="0">
      <alignment/>
      <protection/>
    </xf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 horizontal="center" wrapText="1"/>
    </xf>
    <xf numFmtId="0" fontId="55" fillId="0" borderId="0" xfId="0" applyFont="1" applyAlignment="1">
      <alignment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 quotePrefix="1">
      <alignment horizontal="center" vertical="top" wrapText="1"/>
    </xf>
    <xf numFmtId="49" fontId="4" fillId="0" borderId="10" xfId="0" applyNumberFormat="1" applyFont="1" applyFill="1" applyBorder="1" applyAlignment="1" quotePrefix="1">
      <alignment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vertical="top" wrapText="1"/>
    </xf>
    <xf numFmtId="0" fontId="56" fillId="0" borderId="10" xfId="0" applyFont="1" applyBorder="1" applyAlignment="1">
      <alignment horizontal="center" vertical="top" wrapText="1"/>
    </xf>
    <xf numFmtId="49" fontId="57" fillId="0" borderId="10" xfId="0" applyNumberFormat="1" applyFont="1" applyFill="1" applyBorder="1" applyAlignment="1" quotePrefix="1">
      <alignment horizontal="center" vertical="top" wrapText="1"/>
    </xf>
    <xf numFmtId="0" fontId="6" fillId="0" borderId="0" xfId="0" applyFont="1" applyAlignment="1">
      <alignment horizontal="left"/>
    </xf>
    <xf numFmtId="0" fontId="56" fillId="0" borderId="0" xfId="0" applyFont="1" applyFill="1" applyAlignment="1">
      <alignment/>
    </xf>
    <xf numFmtId="49" fontId="56" fillId="0" borderId="0" xfId="0" applyNumberFormat="1" applyFont="1" applyFill="1" applyAlignment="1">
      <alignment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57" fillId="0" borderId="12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10" fillId="0" borderId="14" xfId="0" applyFont="1" applyBorder="1" applyAlignment="1">
      <alignment vertical="top"/>
    </xf>
    <xf numFmtId="1" fontId="8" fillId="0" borderId="15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/>
    </xf>
    <xf numFmtId="1" fontId="7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49" fontId="4" fillId="0" borderId="16" xfId="0" applyNumberFormat="1" applyFont="1" applyFill="1" applyBorder="1" applyAlignment="1" quotePrefix="1">
      <alignment horizontal="center" vertical="top" wrapText="1"/>
    </xf>
    <xf numFmtId="49" fontId="57" fillId="0" borderId="12" xfId="0" applyNumberFormat="1" applyFont="1" applyFill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vertical="top" wrapText="1"/>
    </xf>
    <xf numFmtId="1" fontId="7" fillId="0" borderId="17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1" fontId="7" fillId="0" borderId="15" xfId="0" applyNumberFormat="1" applyFont="1" applyBorder="1" applyAlignment="1">
      <alignment horizontal="center" vertical="top" wrapText="1"/>
    </xf>
    <xf numFmtId="49" fontId="58" fillId="0" borderId="0" xfId="53" applyNumberFormat="1" applyFont="1" applyBorder="1" applyAlignment="1">
      <alignment vertical="top"/>
      <protection/>
    </xf>
    <xf numFmtId="0" fontId="4" fillId="0" borderId="0" xfId="0" applyFont="1" applyAlignment="1">
      <alignment horizontal="right"/>
    </xf>
    <xf numFmtId="49" fontId="59" fillId="0" borderId="16" xfId="0" applyNumberFormat="1" applyFont="1" applyFill="1" applyBorder="1" applyAlignment="1" quotePrefix="1">
      <alignment horizontal="center" vertical="top" wrapText="1"/>
    </xf>
    <xf numFmtId="49" fontId="59" fillId="0" borderId="10" xfId="0" applyNumberFormat="1" applyFont="1" applyFill="1" applyBorder="1" applyAlignment="1" quotePrefix="1">
      <alignment horizontal="center" vertical="top" wrapText="1"/>
    </xf>
    <xf numFmtId="49" fontId="8" fillId="0" borderId="18" xfId="53" applyNumberFormat="1" applyFont="1" applyBorder="1" applyAlignment="1">
      <alignment horizontal="left" vertical="top"/>
      <protection/>
    </xf>
    <xf numFmtId="49" fontId="4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49" fontId="6" fillId="0" borderId="10" xfId="0" applyNumberFormat="1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quotePrefix="1">
      <alignment horizontal="center" vertical="center" wrapText="1"/>
    </xf>
    <xf numFmtId="49" fontId="4" fillId="0" borderId="10" xfId="0" applyNumberFormat="1" applyFont="1" applyFill="1" applyBorder="1" applyAlignment="1" quotePrefix="1">
      <alignment vertical="center" wrapText="1"/>
    </xf>
    <xf numFmtId="0" fontId="4" fillId="0" borderId="10" xfId="0" applyFont="1" applyBorder="1" applyAlignment="1">
      <alignment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60" fillId="0" borderId="10" xfId="0" applyNumberFormat="1" applyFont="1" applyBorder="1" applyAlignment="1">
      <alignment vertical="center" wrapText="1"/>
    </xf>
    <xf numFmtId="49" fontId="11" fillId="0" borderId="10" xfId="0" applyNumberFormat="1" applyFont="1" applyFill="1" applyBorder="1" applyAlignment="1" quotePrefix="1">
      <alignment horizontal="center" vertical="top" wrapText="1"/>
    </xf>
    <xf numFmtId="1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Border="1" applyAlignment="1">
      <alignment vertical="center"/>
    </xf>
    <xf numFmtId="1" fontId="8" fillId="0" borderId="14" xfId="0" applyNumberFormat="1" applyFont="1" applyBorder="1" applyAlignment="1">
      <alignment vertical="center"/>
    </xf>
    <xf numFmtId="1" fontId="58" fillId="0" borderId="1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 quotePrefix="1">
      <alignment horizontal="center" vertical="center" wrapText="1"/>
    </xf>
    <xf numFmtId="1" fontId="8" fillId="0" borderId="10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8" fillId="0" borderId="17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 quotePrefix="1">
      <alignment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" fontId="8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vertical="top" wrapText="1"/>
    </xf>
    <xf numFmtId="2" fontId="8" fillId="0" borderId="15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49" fontId="4" fillId="0" borderId="10" xfId="54" applyNumberFormat="1" applyFont="1" applyBorder="1" applyAlignment="1" quotePrefix="1">
      <alignment vertical="top" wrapText="1"/>
      <protection/>
    </xf>
    <xf numFmtId="0" fontId="4" fillId="0" borderId="1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top" wrapText="1"/>
    </xf>
    <xf numFmtId="1" fontId="8" fillId="0" borderId="17" xfId="0" applyNumberFormat="1" applyFont="1" applyBorder="1" applyAlignment="1">
      <alignment horizontal="center" vertical="center" wrapText="1"/>
    </xf>
    <xf numFmtId="1" fontId="5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4" fontId="5" fillId="0" borderId="0" xfId="0" applyNumberFormat="1" applyFont="1" applyAlignment="1">
      <alignment/>
    </xf>
    <xf numFmtId="1" fontId="7" fillId="0" borderId="14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9" fontId="4" fillId="0" borderId="15" xfId="0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5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5" xfId="0" applyFont="1" applyBorder="1" applyAlignment="1">
      <alignment vertical="center" wrapText="1"/>
    </xf>
    <xf numFmtId="2" fontId="57" fillId="0" borderId="12" xfId="0" applyNumberFormat="1" applyFont="1" applyFill="1" applyBorder="1" applyAlignment="1" quotePrefix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4" fillId="0" borderId="15" xfId="0" applyNumberFormat="1" applyFont="1" applyFill="1" applyBorder="1" applyAlignment="1" quotePrefix="1">
      <alignment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3" xfId="0" applyNumberForma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9" fillId="32" borderId="15" xfId="0" applyNumberFormat="1" applyFont="1" applyFill="1" applyBorder="1" applyAlignment="1" applyProtection="1">
      <alignment horizontal="center" vertical="center" wrapText="1"/>
      <protection/>
    </xf>
    <xf numFmtId="0" fontId="9" fillId="32" borderId="13" xfId="0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5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9" fontId="57" fillId="0" borderId="12" xfId="0" applyNumberFormat="1" applyFont="1" applyFill="1" applyBorder="1" applyAlignment="1" quotePrefix="1">
      <alignment vertical="top" wrapText="1"/>
    </xf>
    <xf numFmtId="0" fontId="0" fillId="0" borderId="16" xfId="0" applyBorder="1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vertical="top" wrapText="1"/>
    </xf>
    <xf numFmtId="49" fontId="0" fillId="0" borderId="14" xfId="0" applyNumberFormat="1" applyBorder="1" applyAlignment="1">
      <alignment vertical="top" wrapText="1"/>
    </xf>
    <xf numFmtId="0" fontId="10" fillId="0" borderId="16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\Desktop\&#1073;&#1102;&#1076;&#1078;&#1077;&#1090;%202021\&#1088;&#1110;&#1096;&#1077;&#1085;&#1085;&#1103;\04\&#1076;&#1086;&#1076;&#1072;&#1090;&#1086;&#1082;3_&#1082;&#1074;&#1110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">
          <cell r="F18">
            <v>888473.2</v>
          </cell>
        </row>
        <row r="19">
          <cell r="F19">
            <v>31200</v>
          </cell>
        </row>
        <row r="20">
          <cell r="P20">
            <v>11950000</v>
          </cell>
        </row>
        <row r="21">
          <cell r="P21">
            <v>3729372</v>
          </cell>
        </row>
        <row r="23">
          <cell r="F23">
            <v>501620.8</v>
          </cell>
        </row>
        <row r="24">
          <cell r="P24">
            <v>60000</v>
          </cell>
        </row>
        <row r="25">
          <cell r="P25">
            <v>580000</v>
          </cell>
        </row>
        <row r="26">
          <cell r="P26">
            <v>60000</v>
          </cell>
        </row>
        <row r="27">
          <cell r="P27">
            <v>1000000</v>
          </cell>
        </row>
        <row r="29">
          <cell r="P29">
            <v>260000</v>
          </cell>
        </row>
        <row r="31">
          <cell r="P31">
            <v>1000000</v>
          </cell>
        </row>
        <row r="33">
          <cell r="P33">
            <v>24732300</v>
          </cell>
        </row>
        <row r="34">
          <cell r="P34">
            <v>11579600</v>
          </cell>
        </row>
        <row r="39">
          <cell r="P39">
            <v>2000000</v>
          </cell>
        </row>
        <row r="41">
          <cell r="P41">
            <v>14434480</v>
          </cell>
        </row>
        <row r="42">
          <cell r="P42">
            <v>52575</v>
          </cell>
        </row>
        <row r="43">
          <cell r="P43">
            <v>240000</v>
          </cell>
        </row>
        <row r="45">
          <cell r="L45">
            <v>298655.52</v>
          </cell>
        </row>
        <row r="47">
          <cell r="P47">
            <v>203105</v>
          </cell>
        </row>
        <row r="66">
          <cell r="P66">
            <v>152959</v>
          </cell>
        </row>
        <row r="78">
          <cell r="P78">
            <v>2410368</v>
          </cell>
        </row>
        <row r="79">
          <cell r="P79">
            <v>200000</v>
          </cell>
        </row>
        <row r="81">
          <cell r="P81">
            <v>19036</v>
          </cell>
        </row>
        <row r="82">
          <cell r="P82">
            <v>100000</v>
          </cell>
        </row>
        <row r="86">
          <cell r="P86">
            <v>998968</v>
          </cell>
        </row>
        <row r="87">
          <cell r="P87">
            <v>5250000</v>
          </cell>
        </row>
        <row r="96">
          <cell r="P96">
            <v>3679170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zoomScalePageLayoutView="0" workbookViewId="0" topLeftCell="B1">
      <selection activeCell="F64" sqref="F64"/>
    </sheetView>
  </sheetViews>
  <sheetFormatPr defaultColWidth="9.00390625" defaultRowHeight="12.75"/>
  <cols>
    <col min="1" max="1" width="14.125" style="2" hidden="1" customWidth="1"/>
    <col min="2" max="2" width="13.125" style="2" customWidth="1"/>
    <col min="3" max="3" width="14.00390625" style="2" customWidth="1"/>
    <col min="4" max="4" width="10.75390625" style="2" customWidth="1"/>
    <col min="5" max="5" width="31.125" style="2" customWidth="1"/>
    <col min="6" max="6" width="36.25390625" style="2" customWidth="1"/>
    <col min="7" max="7" width="24.875" style="2" customWidth="1"/>
    <col min="8" max="8" width="16.625" style="2" customWidth="1"/>
    <col min="9" max="9" width="12.75390625" style="2" customWidth="1"/>
    <col min="10" max="10" width="14.25390625" style="2" customWidth="1"/>
    <col min="11" max="11" width="12.875" style="2" customWidth="1"/>
    <col min="12" max="12" width="9.125" style="2" customWidth="1"/>
    <col min="13" max="13" width="11.375" style="2" bestFit="1" customWidth="1"/>
    <col min="14" max="14" width="12.125" style="2" customWidth="1"/>
    <col min="15" max="16384" width="9.125" style="2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8" t="s">
        <v>208</v>
      </c>
      <c r="K1" s="18"/>
    </row>
    <row r="2" spans="1:11" ht="52.5" customHeight="1">
      <c r="A2" s="1"/>
      <c r="B2" s="1"/>
      <c r="C2" s="1"/>
      <c r="D2" s="1"/>
      <c r="E2" s="1"/>
      <c r="F2" s="1"/>
      <c r="G2" s="1"/>
      <c r="H2" s="1"/>
      <c r="I2" s="132" t="s">
        <v>210</v>
      </c>
      <c r="J2" s="106"/>
      <c r="K2" s="106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9"/>
      <c r="K3" s="19"/>
    </row>
    <row r="4" spans="4:11" ht="15.75">
      <c r="D4" s="20"/>
      <c r="E4" s="22" t="s">
        <v>209</v>
      </c>
      <c r="G4" s="21"/>
      <c r="H4" s="21"/>
      <c r="I4" s="21"/>
      <c r="J4" s="21"/>
      <c r="K4" s="21"/>
    </row>
    <row r="5" spans="3:11" ht="15.75">
      <c r="C5" s="50" t="s">
        <v>132</v>
      </c>
      <c r="D5" s="20"/>
      <c r="F5" s="22"/>
      <c r="G5" s="21"/>
      <c r="H5" s="21"/>
      <c r="I5" s="21"/>
      <c r="J5" s="21"/>
      <c r="K5" s="21"/>
    </row>
    <row r="6" spans="3:11" ht="15.75">
      <c r="C6" s="46" t="s">
        <v>120</v>
      </c>
      <c r="D6" s="20"/>
      <c r="F6" s="22"/>
      <c r="G6" s="21"/>
      <c r="H6" s="21"/>
      <c r="I6" s="21"/>
      <c r="J6" s="21"/>
      <c r="K6" s="21"/>
    </row>
    <row r="7" spans="1:11" ht="15">
      <c r="A7" s="1"/>
      <c r="B7" s="1"/>
      <c r="C7" s="1"/>
      <c r="D7" s="1"/>
      <c r="E7" s="1"/>
      <c r="F7" s="1"/>
      <c r="G7" s="1"/>
      <c r="H7" s="1"/>
      <c r="I7" s="1"/>
      <c r="J7" s="1"/>
      <c r="K7" s="47" t="s">
        <v>121</v>
      </c>
    </row>
    <row r="8" spans="1:11" ht="32.25" customHeight="1">
      <c r="A8" s="8" t="s">
        <v>19</v>
      </c>
      <c r="B8" s="126" t="s">
        <v>38</v>
      </c>
      <c r="C8" s="126" t="s">
        <v>39</v>
      </c>
      <c r="D8" s="128" t="s">
        <v>40</v>
      </c>
      <c r="E8" s="130" t="s">
        <v>41</v>
      </c>
      <c r="F8" s="135" t="s">
        <v>42</v>
      </c>
      <c r="G8" s="135" t="s">
        <v>43</v>
      </c>
      <c r="H8" s="135" t="s">
        <v>44</v>
      </c>
      <c r="I8" s="133" t="s">
        <v>0</v>
      </c>
      <c r="J8" s="118" t="s">
        <v>1</v>
      </c>
      <c r="K8" s="119"/>
    </row>
    <row r="9" spans="1:11" ht="79.5" customHeight="1">
      <c r="A9" s="27"/>
      <c r="B9" s="127"/>
      <c r="C9" s="127"/>
      <c r="D9" s="129"/>
      <c r="E9" s="131"/>
      <c r="F9" s="136"/>
      <c r="G9" s="136"/>
      <c r="H9" s="136"/>
      <c r="I9" s="134"/>
      <c r="J9" s="29" t="s">
        <v>45</v>
      </c>
      <c r="K9" s="29" t="s">
        <v>46</v>
      </c>
    </row>
    <row r="10" spans="1:11" ht="15">
      <c r="A10" s="6">
        <v>1</v>
      </c>
      <c r="B10" s="30">
        <v>1</v>
      </c>
      <c r="C10" s="30">
        <v>2</v>
      </c>
      <c r="D10" s="30">
        <v>3</v>
      </c>
      <c r="E10" s="31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</row>
    <row r="11" spans="1:11" ht="25.5" customHeight="1">
      <c r="A11" s="23" t="s">
        <v>11</v>
      </c>
      <c r="B11" s="23" t="s">
        <v>20</v>
      </c>
      <c r="C11" s="15"/>
      <c r="D11" s="15"/>
      <c r="E11" s="114" t="s">
        <v>12</v>
      </c>
      <c r="F11" s="115"/>
      <c r="G11" s="116"/>
      <c r="H11" s="79">
        <f>H12</f>
        <v>138125458.51999998</v>
      </c>
      <c r="I11" s="79">
        <f>I12</f>
        <v>72640793</v>
      </c>
      <c r="J11" s="79">
        <f>J12</f>
        <v>66623065.52</v>
      </c>
      <c r="K11" s="79">
        <f>K12</f>
        <v>59971080</v>
      </c>
    </row>
    <row r="12" spans="1:11" ht="26.25" customHeight="1">
      <c r="A12" s="23" t="s">
        <v>13</v>
      </c>
      <c r="B12" s="23" t="s">
        <v>21</v>
      </c>
      <c r="C12" s="15"/>
      <c r="D12" s="15"/>
      <c r="E12" s="114" t="s">
        <v>14</v>
      </c>
      <c r="F12" s="115"/>
      <c r="G12" s="116"/>
      <c r="H12" s="79">
        <f>SUM(H13:H41)</f>
        <v>138125458.51999998</v>
      </c>
      <c r="I12" s="79">
        <f>SUM(I13:I43)</f>
        <v>72640793</v>
      </c>
      <c r="J12" s="79">
        <f>SUM(J13:J43)</f>
        <v>66623065.52</v>
      </c>
      <c r="K12" s="79">
        <f>SUM(K13:K43)</f>
        <v>59971080</v>
      </c>
    </row>
    <row r="13" spans="1:14" ht="62.25" customHeight="1">
      <c r="A13" s="90"/>
      <c r="B13" s="25" t="s">
        <v>49</v>
      </c>
      <c r="C13" s="25" t="s">
        <v>34</v>
      </c>
      <c r="D13" s="25" t="s">
        <v>50</v>
      </c>
      <c r="E13" s="51" t="s">
        <v>51</v>
      </c>
      <c r="F13" s="51" t="s">
        <v>137</v>
      </c>
      <c r="G13" s="3" t="s">
        <v>165</v>
      </c>
      <c r="H13" s="91">
        <f>I13</f>
        <v>888473.2</v>
      </c>
      <c r="I13" s="95">
        <f>949022-15100.8-45448</f>
        <v>888473.2</v>
      </c>
      <c r="J13" s="65"/>
      <c r="K13" s="65"/>
      <c r="M13" s="94">
        <f>'[1]Лист1'!$F$18</f>
        <v>888473.2</v>
      </c>
      <c r="N13" s="94">
        <f>M13-H13</f>
        <v>0</v>
      </c>
    </row>
    <row r="14" spans="1:14" ht="60.75" customHeight="1">
      <c r="A14" s="90"/>
      <c r="B14" s="25" t="s">
        <v>122</v>
      </c>
      <c r="C14" s="25" t="s">
        <v>123</v>
      </c>
      <c r="D14" s="25" t="s">
        <v>124</v>
      </c>
      <c r="E14" s="13" t="s">
        <v>125</v>
      </c>
      <c r="F14" s="51" t="s">
        <v>137</v>
      </c>
      <c r="G14" s="3" t="s">
        <v>165</v>
      </c>
      <c r="H14" s="55">
        <f aca="true" t="shared" si="0" ref="H14:H46">I14+J14</f>
        <v>52575</v>
      </c>
      <c r="I14" s="65">
        <f>7127+45448</f>
        <v>52575</v>
      </c>
      <c r="J14" s="65"/>
      <c r="K14" s="65"/>
      <c r="M14" s="94">
        <f>'[1]Лист1'!$P$41</f>
        <v>14434480</v>
      </c>
      <c r="N14" s="94">
        <f aca="true" t="shared" si="1" ref="N14:N61">M14-H14</f>
        <v>14381905</v>
      </c>
    </row>
    <row r="15" spans="1:14" ht="38.25" customHeight="1">
      <c r="A15" s="23"/>
      <c r="B15" s="25" t="s">
        <v>49</v>
      </c>
      <c r="C15" s="25" t="s">
        <v>34</v>
      </c>
      <c r="D15" s="25" t="s">
        <v>50</v>
      </c>
      <c r="E15" s="51" t="s">
        <v>186</v>
      </c>
      <c r="F15" s="109" t="s">
        <v>180</v>
      </c>
      <c r="G15" s="113" t="s">
        <v>198</v>
      </c>
      <c r="H15" s="85">
        <f t="shared" si="0"/>
        <v>31200</v>
      </c>
      <c r="I15" s="86">
        <f>31200</f>
        <v>31200</v>
      </c>
      <c r="J15" s="65"/>
      <c r="K15" s="65"/>
      <c r="M15" s="94">
        <f>'[1]Лист1'!$F$19</f>
        <v>31200</v>
      </c>
      <c r="N15" s="94">
        <f t="shared" si="1"/>
        <v>0</v>
      </c>
    </row>
    <row r="16" spans="1:14" ht="39" customHeight="1">
      <c r="A16" s="23"/>
      <c r="B16" s="25" t="s">
        <v>187</v>
      </c>
      <c r="C16" s="25" t="s">
        <v>188</v>
      </c>
      <c r="D16" s="25"/>
      <c r="E16" s="84" t="s">
        <v>189</v>
      </c>
      <c r="F16" s="110"/>
      <c r="G16" s="110"/>
      <c r="H16" s="85">
        <f t="shared" si="0"/>
        <v>115100.8</v>
      </c>
      <c r="I16" s="86">
        <f>15100.8+100000</f>
        <v>115100.8</v>
      </c>
      <c r="J16" s="65"/>
      <c r="K16" s="65"/>
      <c r="M16" s="94">
        <f>'[1]Лист1'!$F$23</f>
        <v>501620.8</v>
      </c>
      <c r="N16" s="94">
        <f t="shared" si="1"/>
        <v>386520</v>
      </c>
    </row>
    <row r="17" spans="1:14" ht="36" customHeight="1">
      <c r="A17" s="23"/>
      <c r="B17" s="25" t="s">
        <v>156</v>
      </c>
      <c r="C17" s="25" t="s">
        <v>157</v>
      </c>
      <c r="D17" s="25" t="s">
        <v>158</v>
      </c>
      <c r="E17" s="51" t="s">
        <v>159</v>
      </c>
      <c r="F17" s="120" t="s">
        <v>138</v>
      </c>
      <c r="G17" s="109" t="s">
        <v>166</v>
      </c>
      <c r="H17" s="55">
        <f aca="true" t="shared" si="2" ref="H17:H22">I17+J17</f>
        <v>11950000</v>
      </c>
      <c r="I17" s="65">
        <f>6070000</f>
        <v>6070000</v>
      </c>
      <c r="J17" s="57">
        <f>5880000</f>
        <v>5880000</v>
      </c>
      <c r="K17" s="65"/>
      <c r="M17" s="94">
        <f>'[1]Лист1'!$P$20</f>
        <v>11950000</v>
      </c>
      <c r="N17" s="94">
        <f t="shared" si="1"/>
        <v>0</v>
      </c>
    </row>
    <row r="18" spans="1:14" ht="61.5" customHeight="1">
      <c r="A18" s="23"/>
      <c r="B18" s="25" t="s">
        <v>133</v>
      </c>
      <c r="C18" s="25" t="s">
        <v>134</v>
      </c>
      <c r="D18" s="25" t="s">
        <v>135</v>
      </c>
      <c r="E18" s="51" t="s">
        <v>136</v>
      </c>
      <c r="F18" s="121"/>
      <c r="G18" s="123"/>
      <c r="H18" s="55">
        <f t="shared" si="2"/>
        <v>3729372</v>
      </c>
      <c r="I18" s="92">
        <f>2635000+480000+270000+13700+11000+43872</f>
        <v>3453572</v>
      </c>
      <c r="J18" s="65">
        <f>275800</f>
        <v>275800</v>
      </c>
      <c r="K18" s="65"/>
      <c r="M18" s="94">
        <f>'[1]Лист1'!$P$21</f>
        <v>3729372</v>
      </c>
      <c r="N18" s="94">
        <f t="shared" si="1"/>
        <v>0</v>
      </c>
    </row>
    <row r="19" spans="1:14" ht="45" customHeight="1">
      <c r="A19" s="23"/>
      <c r="B19" s="25" t="s">
        <v>190</v>
      </c>
      <c r="C19" s="25" t="s">
        <v>191</v>
      </c>
      <c r="D19" s="25" t="s">
        <v>192</v>
      </c>
      <c r="E19" s="51" t="s">
        <v>193</v>
      </c>
      <c r="F19" s="121"/>
      <c r="G19" s="123"/>
      <c r="H19" s="55">
        <f t="shared" si="2"/>
        <v>600000</v>
      </c>
      <c r="I19" s="65">
        <f>600000</f>
        <v>600000</v>
      </c>
      <c r="J19" s="76"/>
      <c r="K19" s="65"/>
      <c r="M19" s="2">
        <f>600000</f>
        <v>600000</v>
      </c>
      <c r="N19" s="94">
        <f t="shared" si="1"/>
        <v>0</v>
      </c>
    </row>
    <row r="20" spans="1:14" ht="36" customHeight="1">
      <c r="A20" s="23"/>
      <c r="B20" s="25" t="s">
        <v>187</v>
      </c>
      <c r="C20" s="25" t="s">
        <v>188</v>
      </c>
      <c r="D20" s="25"/>
      <c r="E20" s="84" t="s">
        <v>189</v>
      </c>
      <c r="F20" s="122"/>
      <c r="G20" s="110"/>
      <c r="H20" s="55">
        <f t="shared" si="2"/>
        <v>386520</v>
      </c>
      <c r="I20" s="65">
        <f>386520</f>
        <v>386520</v>
      </c>
      <c r="J20" s="76"/>
      <c r="K20" s="65"/>
      <c r="M20" s="2">
        <f>386520</f>
        <v>386520</v>
      </c>
      <c r="N20" s="94">
        <f t="shared" si="1"/>
        <v>0</v>
      </c>
    </row>
    <row r="21" spans="1:14" ht="63" customHeight="1">
      <c r="A21" s="23"/>
      <c r="B21" s="25" t="s">
        <v>174</v>
      </c>
      <c r="C21" s="11" t="s">
        <v>175</v>
      </c>
      <c r="D21" s="11" t="s">
        <v>62</v>
      </c>
      <c r="E21" s="117" t="s">
        <v>176</v>
      </c>
      <c r="F21" s="83" t="s">
        <v>177</v>
      </c>
      <c r="G21" s="3" t="s">
        <v>173</v>
      </c>
      <c r="H21" s="55">
        <f t="shared" si="2"/>
        <v>47000</v>
      </c>
      <c r="I21" s="65">
        <f>47000</f>
        <v>47000</v>
      </c>
      <c r="J21" s="76"/>
      <c r="K21" s="65"/>
      <c r="M21" s="94">
        <f>'[1]Лист1'!$P$24</f>
        <v>60000</v>
      </c>
      <c r="N21" s="94">
        <f t="shared" si="1"/>
        <v>13000</v>
      </c>
    </row>
    <row r="22" spans="1:14" ht="63" customHeight="1">
      <c r="A22" s="23"/>
      <c r="B22" s="25" t="s">
        <v>174</v>
      </c>
      <c r="C22" s="11" t="s">
        <v>175</v>
      </c>
      <c r="D22" s="11" t="s">
        <v>62</v>
      </c>
      <c r="E22" s="110"/>
      <c r="F22" s="3" t="s">
        <v>178</v>
      </c>
      <c r="G22" s="3" t="s">
        <v>179</v>
      </c>
      <c r="H22" s="55">
        <f t="shared" si="2"/>
        <v>13000</v>
      </c>
      <c r="I22" s="65">
        <f>13000</f>
        <v>13000</v>
      </c>
      <c r="J22" s="76"/>
      <c r="K22" s="65"/>
      <c r="N22" s="94">
        <f>I21+I22</f>
        <v>60000</v>
      </c>
    </row>
    <row r="23" spans="1:14" ht="54.75" customHeight="1">
      <c r="A23" s="23"/>
      <c r="B23" s="58" t="s">
        <v>55</v>
      </c>
      <c r="C23" s="59" t="s">
        <v>56</v>
      </c>
      <c r="D23" s="59" t="s">
        <v>57</v>
      </c>
      <c r="E23" s="14" t="s">
        <v>58</v>
      </c>
      <c r="F23" s="3" t="s">
        <v>59</v>
      </c>
      <c r="G23" s="3" t="s">
        <v>73</v>
      </c>
      <c r="H23" s="55">
        <f t="shared" si="0"/>
        <v>580000</v>
      </c>
      <c r="I23" s="92">
        <f>1500000-400000-260000-60000-200000</f>
        <v>580000</v>
      </c>
      <c r="J23" s="65"/>
      <c r="K23" s="65"/>
      <c r="M23" s="94">
        <f>'[1]Лист1'!$P$25</f>
        <v>580000</v>
      </c>
      <c r="N23" s="94">
        <f t="shared" si="1"/>
        <v>0</v>
      </c>
    </row>
    <row r="24" spans="1:14" ht="60.75" customHeight="1">
      <c r="A24" s="23"/>
      <c r="B24" s="58" t="s">
        <v>96</v>
      </c>
      <c r="C24" s="59" t="s">
        <v>97</v>
      </c>
      <c r="D24" s="59" t="s">
        <v>57</v>
      </c>
      <c r="E24" s="14" t="s">
        <v>98</v>
      </c>
      <c r="F24" s="3" t="s">
        <v>59</v>
      </c>
      <c r="G24" s="3" t="s">
        <v>73</v>
      </c>
      <c r="H24" s="55">
        <f>I24+J24</f>
        <v>60000</v>
      </c>
      <c r="I24" s="65">
        <f>60000</f>
        <v>60000</v>
      </c>
      <c r="J24" s="65"/>
      <c r="K24" s="65"/>
      <c r="M24" s="94">
        <f>'[1]Лист1'!$P$26</f>
        <v>60000</v>
      </c>
      <c r="N24" s="94">
        <f t="shared" si="1"/>
        <v>0</v>
      </c>
    </row>
    <row r="25" spans="1:14" ht="60.75" customHeight="1">
      <c r="A25" s="23"/>
      <c r="B25" s="61" t="s">
        <v>182</v>
      </c>
      <c r="C25" s="61" t="s">
        <v>183</v>
      </c>
      <c r="D25" s="61" t="s">
        <v>57</v>
      </c>
      <c r="E25" s="14" t="s">
        <v>185</v>
      </c>
      <c r="F25" s="52" t="s">
        <v>184</v>
      </c>
      <c r="G25" s="3" t="s">
        <v>181</v>
      </c>
      <c r="H25" s="55">
        <f>I25+J25</f>
        <v>1000000</v>
      </c>
      <c r="I25" s="93">
        <f>400000</f>
        <v>400000</v>
      </c>
      <c r="J25" s="65">
        <f>600000</f>
        <v>600000</v>
      </c>
      <c r="K25" s="65">
        <f>600000</f>
        <v>600000</v>
      </c>
      <c r="M25" s="94">
        <f>'[1]Лист1'!$P$27</f>
        <v>1000000</v>
      </c>
      <c r="N25" s="94">
        <f t="shared" si="1"/>
        <v>0</v>
      </c>
    </row>
    <row r="26" spans="1:14" ht="82.5" customHeight="1">
      <c r="A26" s="25" t="s">
        <v>3</v>
      </c>
      <c r="B26" s="61" t="s">
        <v>22</v>
      </c>
      <c r="C26" s="61" t="s">
        <v>23</v>
      </c>
      <c r="D26" s="62" t="s">
        <v>4</v>
      </c>
      <c r="E26" s="13" t="s">
        <v>24</v>
      </c>
      <c r="F26" s="109" t="s">
        <v>141</v>
      </c>
      <c r="G26" s="113" t="s">
        <v>167</v>
      </c>
      <c r="H26" s="55">
        <f t="shared" si="0"/>
        <v>4573800</v>
      </c>
      <c r="I26" s="92">
        <f>6800000-2226200</f>
        <v>4573800</v>
      </c>
      <c r="J26" s="57"/>
      <c r="K26" s="57"/>
      <c r="M26" s="94">
        <f>'[1]Лист1'!$P$31</f>
        <v>1000000</v>
      </c>
      <c r="N26" s="94">
        <f t="shared" si="1"/>
        <v>-3573800</v>
      </c>
    </row>
    <row r="27" spans="1:14" ht="30" customHeight="1">
      <c r="A27" s="25"/>
      <c r="B27" s="25" t="s">
        <v>163</v>
      </c>
      <c r="C27" s="25" t="s">
        <v>162</v>
      </c>
      <c r="D27" s="11" t="s">
        <v>124</v>
      </c>
      <c r="E27" s="13" t="s">
        <v>207</v>
      </c>
      <c r="F27" s="110"/>
      <c r="G27" s="110"/>
      <c r="H27" s="55">
        <f t="shared" si="0"/>
        <v>1760400</v>
      </c>
      <c r="I27" s="92">
        <v>0</v>
      </c>
      <c r="J27" s="57">
        <f>1760400</f>
        <v>1760400</v>
      </c>
      <c r="K27" s="57">
        <f>1760400</f>
        <v>1760400</v>
      </c>
      <c r="M27" s="2">
        <f>1760400</f>
        <v>1760400</v>
      </c>
      <c r="N27" s="94">
        <f t="shared" si="1"/>
        <v>0</v>
      </c>
    </row>
    <row r="28" spans="1:14" ht="30" customHeight="1">
      <c r="A28" s="11" t="s">
        <v>5</v>
      </c>
      <c r="B28" s="61" t="s">
        <v>27</v>
      </c>
      <c r="C28" s="61" t="s">
        <v>28</v>
      </c>
      <c r="D28" s="62" t="s">
        <v>4</v>
      </c>
      <c r="E28" s="13" t="s">
        <v>100</v>
      </c>
      <c r="F28" s="109" t="s">
        <v>140</v>
      </c>
      <c r="G28" s="111" t="s">
        <v>167</v>
      </c>
      <c r="H28" s="55">
        <f t="shared" si="0"/>
        <v>11579600</v>
      </c>
      <c r="I28" s="92">
        <f>16700000-5120400</f>
        <v>11579600</v>
      </c>
      <c r="J28" s="75"/>
      <c r="K28" s="75"/>
      <c r="M28" s="94">
        <f>'[1]Лист1'!$P$33</f>
        <v>24732300</v>
      </c>
      <c r="N28" s="94">
        <f t="shared" si="1"/>
        <v>13152700</v>
      </c>
    </row>
    <row r="29" spans="1:14" ht="45.75" customHeight="1">
      <c r="A29" s="11"/>
      <c r="B29" s="25" t="s">
        <v>163</v>
      </c>
      <c r="C29" s="25" t="s">
        <v>162</v>
      </c>
      <c r="D29" s="11" t="s">
        <v>124</v>
      </c>
      <c r="E29" s="13" t="s">
        <v>207</v>
      </c>
      <c r="F29" s="110"/>
      <c r="G29" s="112"/>
      <c r="H29" s="55">
        <f t="shared" si="0"/>
        <v>1555000</v>
      </c>
      <c r="I29" s="92">
        <v>0</v>
      </c>
      <c r="J29" s="57">
        <f>1555000</f>
        <v>1555000</v>
      </c>
      <c r="K29" s="57">
        <f>1555000</f>
        <v>1555000</v>
      </c>
      <c r="M29" s="2">
        <f>1555000</f>
        <v>1555000</v>
      </c>
      <c r="N29" s="94">
        <f t="shared" si="1"/>
        <v>0</v>
      </c>
    </row>
    <row r="30" spans="1:14" s="7" customFormat="1" ht="75.75" customHeight="1">
      <c r="A30" s="49" t="s">
        <v>6</v>
      </c>
      <c r="B30" s="61" t="s">
        <v>60</v>
      </c>
      <c r="C30" s="73" t="s">
        <v>61</v>
      </c>
      <c r="D30" s="74" t="s">
        <v>7</v>
      </c>
      <c r="E30" s="13" t="s">
        <v>127</v>
      </c>
      <c r="F30" s="53" t="s">
        <v>199</v>
      </c>
      <c r="G30" s="3" t="s">
        <v>126</v>
      </c>
      <c r="H30" s="55">
        <f t="shared" si="0"/>
        <v>75000000</v>
      </c>
      <c r="I30" s="56">
        <f>25000000</f>
        <v>25000000</v>
      </c>
      <c r="J30" s="56">
        <f>25000000+25000000</f>
        <v>50000000</v>
      </c>
      <c r="K30" s="56">
        <f>25000000+25000000</f>
        <v>50000000</v>
      </c>
      <c r="M30" s="96">
        <f>'[1]Лист1'!$P$39</f>
        <v>2000000</v>
      </c>
      <c r="N30" s="94">
        <f t="shared" si="1"/>
        <v>-73000000</v>
      </c>
    </row>
    <row r="31" spans="1:14" ht="78" customHeight="1">
      <c r="A31" s="11"/>
      <c r="B31" s="61" t="s">
        <v>27</v>
      </c>
      <c r="C31" s="61" t="s">
        <v>28</v>
      </c>
      <c r="D31" s="62" t="s">
        <v>4</v>
      </c>
      <c r="E31" s="54" t="s">
        <v>100</v>
      </c>
      <c r="F31" s="113" t="s">
        <v>142</v>
      </c>
      <c r="G31" s="113" t="s">
        <v>167</v>
      </c>
      <c r="H31" s="55">
        <f>I31+J31</f>
        <v>13152700</v>
      </c>
      <c r="I31" s="92">
        <f>18970000-5817300</f>
        <v>13152700</v>
      </c>
      <c r="J31" s="56"/>
      <c r="K31" s="56"/>
      <c r="M31" s="94">
        <f>'[1]Лист1'!$P$34</f>
        <v>11579600</v>
      </c>
      <c r="N31" s="94">
        <f t="shared" si="1"/>
        <v>-1573100</v>
      </c>
    </row>
    <row r="32" spans="1:14" ht="37.5" customHeight="1">
      <c r="A32" s="11"/>
      <c r="B32" s="25" t="s">
        <v>163</v>
      </c>
      <c r="C32" s="25" t="s">
        <v>162</v>
      </c>
      <c r="D32" s="11" t="s">
        <v>124</v>
      </c>
      <c r="E32" s="13" t="s">
        <v>207</v>
      </c>
      <c r="F32" s="110"/>
      <c r="G32" s="110"/>
      <c r="H32" s="55">
        <f>I32+J32</f>
        <v>1840000</v>
      </c>
      <c r="I32" s="92">
        <v>0</v>
      </c>
      <c r="J32" s="56">
        <f>1840000</f>
        <v>1840000</v>
      </c>
      <c r="K32" s="56">
        <f>1840000</f>
        <v>1840000</v>
      </c>
      <c r="M32" s="2">
        <f>1840000</f>
        <v>1840000</v>
      </c>
      <c r="N32" s="94">
        <f t="shared" si="1"/>
        <v>0</v>
      </c>
    </row>
    <row r="33" spans="1:14" ht="81" customHeight="1">
      <c r="A33" s="11"/>
      <c r="B33" s="58" t="s">
        <v>128</v>
      </c>
      <c r="C33" s="59" t="s">
        <v>129</v>
      </c>
      <c r="D33" s="59" t="s">
        <v>23</v>
      </c>
      <c r="E33" s="63" t="s">
        <v>130</v>
      </c>
      <c r="F33" s="89" t="s">
        <v>112</v>
      </c>
      <c r="G33" s="88" t="s">
        <v>99</v>
      </c>
      <c r="H33" s="55">
        <f>I33+J33</f>
        <v>3850000</v>
      </c>
      <c r="I33" s="72">
        <f>850000+1000000</f>
        <v>1850000</v>
      </c>
      <c r="J33" s="72">
        <f>2000000</f>
        <v>2000000</v>
      </c>
      <c r="K33" s="72">
        <f>2000000</f>
        <v>2000000</v>
      </c>
      <c r="M33" s="94">
        <f>'[1]Лист1'!$P$29</f>
        <v>260000</v>
      </c>
      <c r="N33" s="94">
        <f t="shared" si="1"/>
        <v>-3590000</v>
      </c>
    </row>
    <row r="34" spans="1:14" ht="60">
      <c r="A34" s="11"/>
      <c r="B34" s="25" t="s">
        <v>163</v>
      </c>
      <c r="C34" s="25" t="s">
        <v>162</v>
      </c>
      <c r="D34" s="25" t="s">
        <v>124</v>
      </c>
      <c r="E34" s="87" t="s">
        <v>164</v>
      </c>
      <c r="F34" s="52" t="s">
        <v>168</v>
      </c>
      <c r="G34" s="3" t="s">
        <v>167</v>
      </c>
      <c r="H34" s="55">
        <f>I34+J34</f>
        <v>1051680</v>
      </c>
      <c r="I34" s="56"/>
      <c r="J34" s="56">
        <f>1051680</f>
        <v>1051680</v>
      </c>
      <c r="K34" s="56">
        <f>1051680</f>
        <v>1051680</v>
      </c>
      <c r="M34" s="2">
        <f>1051680</f>
        <v>1051680</v>
      </c>
      <c r="N34" s="94">
        <f t="shared" si="1"/>
        <v>0</v>
      </c>
    </row>
    <row r="35" spans="1:14" ht="59.25" customHeight="1">
      <c r="A35" s="11"/>
      <c r="B35" s="61" t="s">
        <v>115</v>
      </c>
      <c r="C35" s="61" t="s">
        <v>116</v>
      </c>
      <c r="D35" s="62" t="s">
        <v>117</v>
      </c>
      <c r="E35" s="54" t="s">
        <v>118</v>
      </c>
      <c r="F35" s="139" t="s">
        <v>113</v>
      </c>
      <c r="G35" s="113" t="s">
        <v>114</v>
      </c>
      <c r="H35" s="55">
        <f t="shared" si="0"/>
        <v>298655.52</v>
      </c>
      <c r="I35" s="72"/>
      <c r="J35" s="72">
        <f>200000+78655.52+20000</f>
        <v>298655.52</v>
      </c>
      <c r="K35" s="72"/>
      <c r="M35" s="97">
        <f>'[1]Лист1'!$L$44</f>
        <v>0</v>
      </c>
      <c r="N35" s="94">
        <f t="shared" si="1"/>
        <v>-298655.52</v>
      </c>
    </row>
    <row r="36" spans="1:14" ht="61.5" customHeight="1">
      <c r="A36" s="11"/>
      <c r="B36" s="58" t="s">
        <v>25</v>
      </c>
      <c r="C36" s="58" t="s">
        <v>26</v>
      </c>
      <c r="D36" s="59" t="s">
        <v>8</v>
      </c>
      <c r="E36" s="69" t="s">
        <v>10</v>
      </c>
      <c r="F36" s="140"/>
      <c r="G36" s="125"/>
      <c r="H36" s="55">
        <f t="shared" si="0"/>
        <v>197530</v>
      </c>
      <c r="I36" s="72"/>
      <c r="J36" s="57">
        <f>127530+70000</f>
        <v>197530</v>
      </c>
      <c r="K36" s="57"/>
      <c r="M36" s="97">
        <f>'[1]Лист1'!$L$45</f>
        <v>298655.52</v>
      </c>
      <c r="N36" s="94">
        <f t="shared" si="1"/>
        <v>101125.52000000002</v>
      </c>
    </row>
    <row r="37" spans="1:14" ht="111.75" customHeight="1">
      <c r="A37" s="11"/>
      <c r="B37" s="58" t="s">
        <v>109</v>
      </c>
      <c r="C37" s="58" t="s">
        <v>110</v>
      </c>
      <c r="D37" s="59" t="s">
        <v>103</v>
      </c>
      <c r="E37" s="60" t="s">
        <v>111</v>
      </c>
      <c r="F37" s="26" t="s">
        <v>170</v>
      </c>
      <c r="G37" s="3" t="s">
        <v>169</v>
      </c>
      <c r="H37" s="55">
        <f t="shared" si="0"/>
        <v>240000</v>
      </c>
      <c r="I37" s="57">
        <f>200000+40000</f>
        <v>240000</v>
      </c>
      <c r="J37" s="57"/>
      <c r="K37" s="57"/>
      <c r="M37" s="94">
        <f>'[1]Лист1'!$P$42</f>
        <v>52575</v>
      </c>
      <c r="N37" s="94">
        <f t="shared" si="1"/>
        <v>-187425</v>
      </c>
    </row>
    <row r="38" spans="1:14" ht="75.75" customHeight="1">
      <c r="A38" s="11"/>
      <c r="B38" s="25" t="s">
        <v>101</v>
      </c>
      <c r="C38" s="25" t="s">
        <v>102</v>
      </c>
      <c r="D38" s="11" t="s">
        <v>103</v>
      </c>
      <c r="E38" s="12" t="s">
        <v>104</v>
      </c>
      <c r="F38" s="3" t="s">
        <v>200</v>
      </c>
      <c r="G38" s="3"/>
      <c r="H38" s="33">
        <f t="shared" si="0"/>
        <v>2335052</v>
      </c>
      <c r="I38" s="34">
        <f>2285052</f>
        <v>2285052</v>
      </c>
      <c r="J38" s="34">
        <f>50000</f>
        <v>50000</v>
      </c>
      <c r="K38" s="34">
        <f>50000</f>
        <v>50000</v>
      </c>
      <c r="M38" s="94">
        <f>'[1]Лист1'!$P$43</f>
        <v>240000</v>
      </c>
      <c r="N38" s="94">
        <f t="shared" si="1"/>
        <v>-2095052</v>
      </c>
    </row>
    <row r="39" spans="1:14" ht="58.5" customHeight="1">
      <c r="A39" s="11"/>
      <c r="B39" s="25" t="s">
        <v>105</v>
      </c>
      <c r="C39" s="25" t="s">
        <v>106</v>
      </c>
      <c r="D39" s="11" t="s">
        <v>107</v>
      </c>
      <c r="E39" s="13" t="s">
        <v>108</v>
      </c>
      <c r="F39" s="3" t="s">
        <v>143</v>
      </c>
      <c r="G39" s="3" t="s">
        <v>139</v>
      </c>
      <c r="H39" s="33">
        <f t="shared" si="0"/>
        <v>756400</v>
      </c>
      <c r="I39" s="93">
        <f>676800+79600</f>
        <v>756400</v>
      </c>
      <c r="J39" s="34"/>
      <c r="K39" s="34"/>
      <c r="M39" s="94">
        <f>'[1]Лист1'!$P$47</f>
        <v>203105</v>
      </c>
      <c r="N39" s="94">
        <f t="shared" si="1"/>
        <v>-553295</v>
      </c>
    </row>
    <row r="40" spans="1:14" ht="58.5" customHeight="1">
      <c r="A40" s="11"/>
      <c r="B40" s="25" t="s">
        <v>206</v>
      </c>
      <c r="C40" s="25" t="s">
        <v>205</v>
      </c>
      <c r="D40" s="11" t="s">
        <v>204</v>
      </c>
      <c r="E40" s="13" t="s">
        <v>203</v>
      </c>
      <c r="F40" s="98" t="s">
        <v>202</v>
      </c>
      <c r="G40" s="99"/>
      <c r="H40" s="33">
        <f t="shared" si="0"/>
        <v>114000</v>
      </c>
      <c r="I40" s="77">
        <v>0</v>
      </c>
      <c r="J40" s="33">
        <f>114000</f>
        <v>114000</v>
      </c>
      <c r="K40" s="33">
        <f>114000</f>
        <v>114000</v>
      </c>
      <c r="M40" s="2">
        <f>114000</f>
        <v>114000</v>
      </c>
      <c r="N40" s="94">
        <f t="shared" si="1"/>
        <v>0</v>
      </c>
    </row>
    <row r="41" spans="1:14" s="7" customFormat="1" ht="78" customHeight="1">
      <c r="A41" s="49"/>
      <c r="B41" s="78" t="s">
        <v>151</v>
      </c>
      <c r="C41" s="24" t="s">
        <v>152</v>
      </c>
      <c r="D41" s="9" t="s">
        <v>34</v>
      </c>
      <c r="E41" s="14" t="s">
        <v>153</v>
      </c>
      <c r="F41" s="3" t="s">
        <v>154</v>
      </c>
      <c r="G41" s="3" t="s">
        <v>155</v>
      </c>
      <c r="H41" s="33">
        <f t="shared" si="0"/>
        <v>367400</v>
      </c>
      <c r="I41" s="77">
        <v>367400</v>
      </c>
      <c r="J41" s="33"/>
      <c r="K41" s="33"/>
      <c r="M41" s="2">
        <f>367400</f>
        <v>367400</v>
      </c>
      <c r="N41" s="94">
        <f t="shared" si="1"/>
        <v>0</v>
      </c>
    </row>
    <row r="42" spans="1:14" ht="69.75" customHeight="1">
      <c r="A42" s="11"/>
      <c r="B42" s="25" t="s">
        <v>151</v>
      </c>
      <c r="C42" s="25" t="s">
        <v>152</v>
      </c>
      <c r="D42" s="11" t="s">
        <v>34</v>
      </c>
      <c r="E42" s="12" t="s">
        <v>153</v>
      </c>
      <c r="F42" s="3" t="s">
        <v>201</v>
      </c>
      <c r="G42" s="100"/>
      <c r="H42" s="33">
        <f t="shared" si="0"/>
        <v>1100000</v>
      </c>
      <c r="I42" s="77">
        <f>100000</f>
        <v>100000</v>
      </c>
      <c r="J42" s="33">
        <f>1000000</f>
        <v>1000000</v>
      </c>
      <c r="K42" s="33">
        <f>1000000</f>
        <v>1000000</v>
      </c>
      <c r="M42" s="2">
        <f>1100000</f>
        <v>1100000</v>
      </c>
      <c r="N42" s="94">
        <f t="shared" si="1"/>
        <v>0</v>
      </c>
    </row>
    <row r="43" spans="1:14" s="7" customFormat="1" ht="111.75" customHeight="1">
      <c r="A43" s="49"/>
      <c r="B43" s="81" t="s">
        <v>151</v>
      </c>
      <c r="C43" s="58" t="s">
        <v>152</v>
      </c>
      <c r="D43" s="59" t="s">
        <v>34</v>
      </c>
      <c r="E43" s="80" t="s">
        <v>153</v>
      </c>
      <c r="F43" s="3" t="s">
        <v>160</v>
      </c>
      <c r="G43" s="64" t="s">
        <v>161</v>
      </c>
      <c r="H43" s="55">
        <f>I43+J43</f>
        <v>38400</v>
      </c>
      <c r="I43" s="82">
        <f>38400</f>
        <v>38400</v>
      </c>
      <c r="J43" s="33"/>
      <c r="K43" s="33"/>
      <c r="M43" s="2">
        <f>38400</f>
        <v>38400</v>
      </c>
      <c r="N43" s="94">
        <f t="shared" si="1"/>
        <v>0</v>
      </c>
    </row>
    <row r="44" spans="1:14" s="7" customFormat="1" ht="30" customHeight="1">
      <c r="A44" s="9"/>
      <c r="B44" s="41" t="s">
        <v>80</v>
      </c>
      <c r="C44" s="15"/>
      <c r="D44" s="15"/>
      <c r="E44" s="137" t="s">
        <v>81</v>
      </c>
      <c r="F44" s="141"/>
      <c r="G44" s="142"/>
      <c r="H44" s="45">
        <f>H45</f>
        <v>2329384</v>
      </c>
      <c r="I44" s="45">
        <f>I45</f>
        <v>2329384</v>
      </c>
      <c r="J44" s="45">
        <f>J45</f>
        <v>0</v>
      </c>
      <c r="K44" s="45">
        <f>K45</f>
        <v>0</v>
      </c>
      <c r="N44" s="94">
        <f t="shared" si="1"/>
        <v>-2329384</v>
      </c>
    </row>
    <row r="45" spans="1:14" s="7" customFormat="1" ht="24" customHeight="1">
      <c r="A45" s="9"/>
      <c r="B45" s="41" t="s">
        <v>82</v>
      </c>
      <c r="C45" s="15"/>
      <c r="D45" s="15"/>
      <c r="E45" s="137" t="s">
        <v>83</v>
      </c>
      <c r="F45" s="138"/>
      <c r="G45" s="116"/>
      <c r="H45" s="45">
        <f t="shared" si="0"/>
        <v>2329384</v>
      </c>
      <c r="I45" s="36">
        <f>I46</f>
        <v>2329384</v>
      </c>
      <c r="J45" s="36">
        <f>J46</f>
        <v>0</v>
      </c>
      <c r="K45" s="36">
        <f>K46</f>
        <v>0</v>
      </c>
      <c r="N45" s="94">
        <f t="shared" si="1"/>
        <v>-2329384</v>
      </c>
    </row>
    <row r="46" spans="1:14" s="7" customFormat="1" ht="91.5" customHeight="1">
      <c r="A46" s="9"/>
      <c r="B46" s="58" t="s">
        <v>84</v>
      </c>
      <c r="C46" s="58" t="s">
        <v>85</v>
      </c>
      <c r="D46" s="61" t="s">
        <v>86</v>
      </c>
      <c r="E46" s="42" t="s">
        <v>144</v>
      </c>
      <c r="F46" s="64" t="s">
        <v>87</v>
      </c>
      <c r="G46" s="37" t="s">
        <v>88</v>
      </c>
      <c r="H46" s="55">
        <f t="shared" si="0"/>
        <v>2329384</v>
      </c>
      <c r="I46" s="102">
        <f>2565000-235616</f>
        <v>2329384</v>
      </c>
      <c r="J46" s="66"/>
      <c r="K46" s="66"/>
      <c r="M46" s="94">
        <f>'[1]Лист1'!$P$66</f>
        <v>152959</v>
      </c>
      <c r="N46" s="94">
        <f t="shared" si="1"/>
        <v>-2176425</v>
      </c>
    </row>
    <row r="47" spans="1:14" ht="32.25" customHeight="1">
      <c r="A47" s="16" t="s">
        <v>15</v>
      </c>
      <c r="B47" s="16" t="s">
        <v>29</v>
      </c>
      <c r="C47" s="15"/>
      <c r="D47" s="15"/>
      <c r="E47" s="137" t="s">
        <v>16</v>
      </c>
      <c r="F47" s="145"/>
      <c r="G47" s="146"/>
      <c r="H47" s="38">
        <f>H48</f>
        <v>7720900</v>
      </c>
      <c r="I47" s="38">
        <f>I48</f>
        <v>7720900</v>
      </c>
      <c r="J47" s="38">
        <f>J48</f>
        <v>0</v>
      </c>
      <c r="K47" s="38">
        <f>K48</f>
        <v>0</v>
      </c>
      <c r="N47" s="94"/>
    </row>
    <row r="48" spans="1:14" ht="28.5" customHeight="1">
      <c r="A48" s="16" t="s">
        <v>15</v>
      </c>
      <c r="B48" s="16" t="s">
        <v>64</v>
      </c>
      <c r="C48" s="15"/>
      <c r="D48" s="15"/>
      <c r="E48" s="137" t="s">
        <v>17</v>
      </c>
      <c r="F48" s="115"/>
      <c r="G48" s="116"/>
      <c r="H48" s="38">
        <f>SUM(H49:H57)</f>
        <v>7720900</v>
      </c>
      <c r="I48" s="38">
        <f>SUM(I49:I57)</f>
        <v>7720900</v>
      </c>
      <c r="J48" s="38">
        <f>SUM(J49:J57)</f>
        <v>0</v>
      </c>
      <c r="K48" s="38">
        <f>SUM(K49:K57)</f>
        <v>0</v>
      </c>
      <c r="N48" s="94"/>
    </row>
    <row r="49" spans="1:14" ht="58.5" customHeight="1">
      <c r="A49" s="67"/>
      <c r="B49" s="25" t="s">
        <v>66</v>
      </c>
      <c r="C49" s="25" t="s">
        <v>67</v>
      </c>
      <c r="D49" s="11" t="s">
        <v>62</v>
      </c>
      <c r="E49" s="12" t="s">
        <v>71</v>
      </c>
      <c r="F49" s="3" t="s">
        <v>146</v>
      </c>
      <c r="G49" s="3" t="s">
        <v>145</v>
      </c>
      <c r="H49" s="33">
        <f aca="true" t="shared" si="3" ref="H49:H57">I49+J49</f>
        <v>200000</v>
      </c>
      <c r="I49" s="38">
        <f>200000</f>
        <v>200000</v>
      </c>
      <c r="J49" s="35"/>
      <c r="K49" s="35"/>
      <c r="M49" s="94">
        <f>'[1]Лист1'!$P$78</f>
        <v>2410368</v>
      </c>
      <c r="N49" s="94">
        <f t="shared" si="1"/>
        <v>2210368</v>
      </c>
    </row>
    <row r="50" spans="1:14" ht="126" customHeight="1">
      <c r="A50" s="16"/>
      <c r="B50" s="58" t="s">
        <v>68</v>
      </c>
      <c r="C50" s="59" t="s">
        <v>69</v>
      </c>
      <c r="D50" s="58" t="s">
        <v>70</v>
      </c>
      <c r="E50" s="14" t="s">
        <v>74</v>
      </c>
      <c r="F50" s="135" t="s">
        <v>65</v>
      </c>
      <c r="G50" s="113" t="s">
        <v>72</v>
      </c>
      <c r="H50" s="55">
        <f t="shared" si="3"/>
        <v>360000</v>
      </c>
      <c r="I50" s="103">
        <f>360000</f>
        <v>360000</v>
      </c>
      <c r="J50" s="68"/>
      <c r="K50" s="68"/>
      <c r="M50" s="94">
        <f>'[1]Лист1'!$P$79</f>
        <v>200000</v>
      </c>
      <c r="N50" s="94">
        <f t="shared" si="1"/>
        <v>-160000</v>
      </c>
    </row>
    <row r="51" spans="1:14" ht="35.25" customHeight="1">
      <c r="A51" s="16"/>
      <c r="B51" s="24" t="s">
        <v>37</v>
      </c>
      <c r="C51" s="25" t="s">
        <v>36</v>
      </c>
      <c r="D51" s="9" t="s">
        <v>92</v>
      </c>
      <c r="E51" s="10" t="s">
        <v>35</v>
      </c>
      <c r="F51" s="147"/>
      <c r="G51" s="124"/>
      <c r="H51" s="33">
        <f t="shared" si="3"/>
        <v>4650000</v>
      </c>
      <c r="I51" s="38">
        <f>5250000-300000-300000</f>
        <v>4650000</v>
      </c>
      <c r="J51" s="35"/>
      <c r="K51" s="35"/>
      <c r="M51" s="94">
        <f>'[1]Лист1'!$P$86</f>
        <v>998968</v>
      </c>
      <c r="N51" s="94">
        <f t="shared" si="1"/>
        <v>-3651032</v>
      </c>
    </row>
    <row r="52" spans="1:14" ht="75" customHeight="1">
      <c r="A52" s="25" t="s">
        <v>33</v>
      </c>
      <c r="B52" s="24" t="s">
        <v>89</v>
      </c>
      <c r="C52" s="25" t="s">
        <v>90</v>
      </c>
      <c r="D52" s="25" t="s">
        <v>91</v>
      </c>
      <c r="E52" s="10" t="s">
        <v>75</v>
      </c>
      <c r="F52" s="148"/>
      <c r="G52" s="125"/>
      <c r="H52" s="55">
        <f t="shared" si="3"/>
        <v>100000</v>
      </c>
      <c r="I52" s="103">
        <f>100000</f>
        <v>100000</v>
      </c>
      <c r="J52" s="68"/>
      <c r="K52" s="35"/>
      <c r="M52" s="94">
        <f>'[1]Лист1'!$P$81</f>
        <v>19036</v>
      </c>
      <c r="N52" s="94">
        <f t="shared" si="1"/>
        <v>-80964</v>
      </c>
    </row>
    <row r="53" spans="1:14" ht="75">
      <c r="A53" s="25"/>
      <c r="B53" s="25" t="s">
        <v>195</v>
      </c>
      <c r="C53" s="25" t="s">
        <v>196</v>
      </c>
      <c r="D53" s="25" t="s">
        <v>197</v>
      </c>
      <c r="E53" s="13" t="s">
        <v>194</v>
      </c>
      <c r="F53" s="3" t="s">
        <v>171</v>
      </c>
      <c r="G53" s="3" t="s">
        <v>172</v>
      </c>
      <c r="H53" s="55">
        <f t="shared" si="3"/>
        <v>146400</v>
      </c>
      <c r="I53" s="103">
        <f>146400</f>
        <v>146400</v>
      </c>
      <c r="J53" s="68"/>
      <c r="K53" s="35"/>
      <c r="M53" s="94">
        <f>'[1]Лист1'!$P$82</f>
        <v>100000</v>
      </c>
      <c r="N53" s="94">
        <f t="shared" si="1"/>
        <v>-46400</v>
      </c>
    </row>
    <row r="54" spans="1:14" ht="96" customHeight="1">
      <c r="A54" s="25"/>
      <c r="B54" s="61" t="s">
        <v>37</v>
      </c>
      <c r="C54" s="61" t="s">
        <v>36</v>
      </c>
      <c r="D54" s="62" t="s">
        <v>92</v>
      </c>
      <c r="E54" s="54" t="s">
        <v>35</v>
      </c>
      <c r="F54" s="37" t="s">
        <v>148</v>
      </c>
      <c r="G54" s="64" t="s">
        <v>147</v>
      </c>
      <c r="H54" s="55">
        <f t="shared" si="3"/>
        <v>300000</v>
      </c>
      <c r="I54" s="103">
        <f>300000</f>
        <v>300000</v>
      </c>
      <c r="J54" s="68"/>
      <c r="K54" s="68"/>
      <c r="M54" s="2">
        <f>300000</f>
        <v>300000</v>
      </c>
      <c r="N54" s="94">
        <f t="shared" si="1"/>
        <v>0</v>
      </c>
    </row>
    <row r="55" spans="1:14" ht="160.5" customHeight="1">
      <c r="A55" s="25"/>
      <c r="B55" s="58" t="s">
        <v>37</v>
      </c>
      <c r="C55" s="61" t="s">
        <v>36</v>
      </c>
      <c r="D55" s="59" t="s">
        <v>92</v>
      </c>
      <c r="E55" s="69" t="s">
        <v>35</v>
      </c>
      <c r="F55" s="44" t="s">
        <v>119</v>
      </c>
      <c r="G55" s="64" t="s">
        <v>93</v>
      </c>
      <c r="H55" s="55">
        <f t="shared" si="3"/>
        <v>300000</v>
      </c>
      <c r="I55" s="103">
        <f>300000</f>
        <v>300000</v>
      </c>
      <c r="J55" s="68"/>
      <c r="K55" s="68"/>
      <c r="M55" s="2">
        <f>300000</f>
        <v>300000</v>
      </c>
      <c r="N55" s="94">
        <f t="shared" si="1"/>
        <v>0</v>
      </c>
    </row>
    <row r="56" spans="1:14" ht="90" customHeight="1">
      <c r="A56" s="25"/>
      <c r="B56" s="61" t="s">
        <v>30</v>
      </c>
      <c r="C56" s="61" t="s">
        <v>31</v>
      </c>
      <c r="D56" s="62" t="s">
        <v>9</v>
      </c>
      <c r="E56" s="63" t="s">
        <v>32</v>
      </c>
      <c r="F56" s="3" t="s">
        <v>131</v>
      </c>
      <c r="G56" s="3" t="s">
        <v>94</v>
      </c>
      <c r="H56" s="55">
        <f t="shared" si="3"/>
        <v>319000</v>
      </c>
      <c r="I56" s="103">
        <f>319000</f>
        <v>319000</v>
      </c>
      <c r="J56" s="68"/>
      <c r="K56" s="68"/>
      <c r="M56" s="94">
        <f>'[1]Лист1'!$P$87</f>
        <v>5250000</v>
      </c>
      <c r="N56" s="94">
        <f t="shared" si="1"/>
        <v>4931000</v>
      </c>
    </row>
    <row r="57" spans="1:14" ht="69.75" customHeight="1">
      <c r="A57" s="11" t="s">
        <v>18</v>
      </c>
      <c r="B57" s="61" t="s">
        <v>30</v>
      </c>
      <c r="C57" s="61" t="s">
        <v>31</v>
      </c>
      <c r="D57" s="62" t="s">
        <v>9</v>
      </c>
      <c r="E57" s="63" t="s">
        <v>32</v>
      </c>
      <c r="F57" s="3" t="s">
        <v>48</v>
      </c>
      <c r="G57" s="3" t="s">
        <v>95</v>
      </c>
      <c r="H57" s="55">
        <f t="shared" si="3"/>
        <v>1345500</v>
      </c>
      <c r="I57" s="103">
        <f>1180500+165000</f>
        <v>1345500</v>
      </c>
      <c r="J57" s="70"/>
      <c r="K57" s="70"/>
      <c r="M57" s="94">
        <f>M56-N57</f>
        <v>3585500</v>
      </c>
      <c r="N57" s="94">
        <f>I57+I56</f>
        <v>1664500</v>
      </c>
    </row>
    <row r="58" spans="1:14" ht="30.75" customHeight="1">
      <c r="A58" s="40"/>
      <c r="B58" s="16" t="s">
        <v>63</v>
      </c>
      <c r="C58" s="15"/>
      <c r="D58" s="15"/>
      <c r="E58" s="137" t="s">
        <v>78</v>
      </c>
      <c r="F58" s="145"/>
      <c r="G58" s="146"/>
      <c r="H58" s="43">
        <f aca="true" t="shared" si="4" ref="H58:K59">H59</f>
        <v>700000</v>
      </c>
      <c r="I58" s="43">
        <f t="shared" si="4"/>
        <v>700000</v>
      </c>
      <c r="J58" s="43">
        <f t="shared" si="4"/>
        <v>0</v>
      </c>
      <c r="K58" s="43">
        <f t="shared" si="4"/>
        <v>0</v>
      </c>
      <c r="N58" s="94"/>
    </row>
    <row r="59" spans="1:14" ht="36.75" customHeight="1">
      <c r="A59" s="40"/>
      <c r="B59" s="16" t="s">
        <v>76</v>
      </c>
      <c r="C59" s="15"/>
      <c r="D59" s="15"/>
      <c r="E59" s="137" t="s">
        <v>79</v>
      </c>
      <c r="F59" s="115"/>
      <c r="G59" s="116"/>
      <c r="H59" s="43">
        <f t="shared" si="4"/>
        <v>700000</v>
      </c>
      <c r="I59" s="43">
        <f t="shared" si="4"/>
        <v>700000</v>
      </c>
      <c r="J59" s="43">
        <f t="shared" si="4"/>
        <v>0</v>
      </c>
      <c r="K59" s="43">
        <f t="shared" si="4"/>
        <v>0</v>
      </c>
      <c r="N59" s="94"/>
    </row>
    <row r="60" spans="1:14" s="7" customFormat="1" ht="77.25" customHeight="1">
      <c r="A60" s="48"/>
      <c r="B60" s="61" t="s">
        <v>77</v>
      </c>
      <c r="C60" s="61" t="s">
        <v>52</v>
      </c>
      <c r="D60" s="62" t="s">
        <v>53</v>
      </c>
      <c r="E60" s="54" t="s">
        <v>54</v>
      </c>
      <c r="F60" s="26" t="s">
        <v>150</v>
      </c>
      <c r="G60" s="3" t="s">
        <v>149</v>
      </c>
      <c r="H60" s="55">
        <f>I60+J60</f>
        <v>700000</v>
      </c>
      <c r="I60" s="104">
        <f>700000</f>
        <v>700000</v>
      </c>
      <c r="J60" s="71"/>
      <c r="K60" s="71"/>
      <c r="M60" s="101">
        <f>'[1]Лист1'!$P$96</f>
        <v>3679170</v>
      </c>
      <c r="N60" s="94">
        <f t="shared" si="1"/>
        <v>2979170</v>
      </c>
    </row>
    <row r="61" spans="1:14" ht="15.75">
      <c r="A61" s="143" t="s">
        <v>47</v>
      </c>
      <c r="B61" s="143"/>
      <c r="C61" s="143"/>
      <c r="D61" s="143"/>
      <c r="E61" s="143"/>
      <c r="F61" s="144"/>
      <c r="G61" s="32"/>
      <c r="H61" s="39">
        <f>H58+H47+H44+H11</f>
        <v>148875742.51999998</v>
      </c>
      <c r="I61" s="39">
        <f>I58+I47+I44+I11</f>
        <v>83391077</v>
      </c>
      <c r="J61" s="39">
        <f>J58+J47+J44+J11</f>
        <v>66623065.52</v>
      </c>
      <c r="K61" s="39">
        <f>K58+K47+K44+K11</f>
        <v>59971080</v>
      </c>
      <c r="N61" s="94">
        <f t="shared" si="1"/>
        <v>-148875742.51999998</v>
      </c>
    </row>
    <row r="62" spans="1:11" ht="15">
      <c r="A62" s="1"/>
      <c r="B62" s="1"/>
      <c r="C62" s="1"/>
      <c r="D62" s="1"/>
      <c r="E62" s="4"/>
      <c r="F62" s="1"/>
      <c r="G62" s="1"/>
      <c r="H62" s="1"/>
      <c r="I62" s="1"/>
      <c r="J62" s="1"/>
      <c r="K62" s="1"/>
    </row>
    <row r="63" spans="1:11" ht="15">
      <c r="A63" s="1"/>
      <c r="B63" s="1"/>
      <c r="C63" s="1"/>
      <c r="D63" s="1"/>
      <c r="E63" s="17"/>
      <c r="F63" s="1"/>
      <c r="G63" s="1"/>
      <c r="H63" s="1"/>
      <c r="I63" s="1"/>
      <c r="J63" s="1"/>
      <c r="K63" s="1"/>
    </row>
    <row r="64" spans="1:11" ht="15">
      <c r="A64" s="1"/>
      <c r="B64" s="105" t="s">
        <v>2</v>
      </c>
      <c r="C64" s="106" t="s">
        <v>2</v>
      </c>
      <c r="D64" s="1"/>
      <c r="F64" s="1" t="s">
        <v>212</v>
      </c>
      <c r="G64" s="17"/>
      <c r="H64" s="1"/>
      <c r="I64" s="107" t="s">
        <v>211</v>
      </c>
      <c r="J64" s="108"/>
      <c r="K64" s="108"/>
    </row>
    <row r="65" spans="1:11" ht="15">
      <c r="A65" s="1"/>
      <c r="B65" s="1"/>
      <c r="C65" s="1"/>
      <c r="D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5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5"/>
      <c r="J67" s="1"/>
      <c r="K67" s="1"/>
    </row>
    <row r="68" spans="1:1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">
      <c r="A70" s="1"/>
      <c r="B70" s="1"/>
      <c r="C70" s="1"/>
      <c r="D70" s="1"/>
      <c r="E70" s="1"/>
      <c r="F70" s="1"/>
      <c r="G70" s="1"/>
      <c r="H70" s="1"/>
      <c r="I70" s="5"/>
      <c r="J70" s="1"/>
      <c r="K70" s="1"/>
    </row>
    <row r="71" spans="1:11" ht="15">
      <c r="A71" s="1"/>
      <c r="B71" s="1"/>
      <c r="C71" s="1"/>
      <c r="D71" s="1"/>
      <c r="E71" s="1"/>
      <c r="F71" s="1"/>
      <c r="G71" s="1"/>
      <c r="H71" s="1"/>
      <c r="I71" s="5"/>
      <c r="J71" s="1"/>
      <c r="K71" s="1"/>
    </row>
    <row r="72" spans="1:1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">
      <c r="A74" s="1"/>
      <c r="B74" s="1"/>
      <c r="C74" s="1"/>
      <c r="D74" s="1"/>
      <c r="E74" s="1"/>
      <c r="F74" s="1"/>
      <c r="G74" s="1"/>
      <c r="H74" s="1"/>
      <c r="I74" s="5"/>
      <c r="J74" s="1"/>
      <c r="K74" s="1"/>
    </row>
    <row r="75" spans="1:11" ht="15">
      <c r="A75" s="1"/>
      <c r="B75" s="1"/>
      <c r="C75" s="1"/>
      <c r="D75" s="1"/>
      <c r="E75" s="1"/>
      <c r="F75" s="1"/>
      <c r="G75" s="1"/>
      <c r="H75" s="1"/>
      <c r="I75" s="5"/>
      <c r="J75" s="1"/>
      <c r="K75" s="1"/>
    </row>
    <row r="76" spans="1:1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">
      <c r="A77" s="1"/>
      <c r="B77" s="1"/>
      <c r="C77" s="1"/>
      <c r="D77" s="1"/>
      <c r="E77" s="1"/>
      <c r="F77" s="1"/>
      <c r="G77" s="1"/>
      <c r="H77" s="1"/>
      <c r="I77" s="5"/>
      <c r="J77" s="1"/>
      <c r="K77" s="1"/>
    </row>
    <row r="78" spans="1:1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">
      <c r="A82" s="1"/>
      <c r="B82" s="1"/>
      <c r="C82" s="1"/>
      <c r="D82" s="1"/>
      <c r="E82" s="1"/>
      <c r="F82" s="1"/>
      <c r="G82" s="1"/>
      <c r="H82" s="1"/>
      <c r="I82" s="5"/>
      <c r="J82" s="1"/>
      <c r="K82" s="1"/>
    </row>
    <row r="83" spans="1:11" ht="15">
      <c r="A83" s="1"/>
      <c r="B83" s="1"/>
      <c r="C83" s="1"/>
      <c r="D83" s="1"/>
      <c r="E83" s="1"/>
      <c r="F83" s="1"/>
      <c r="G83" s="1"/>
      <c r="H83" s="1"/>
      <c r="I83" s="5"/>
      <c r="J83" s="1"/>
      <c r="K83" s="1"/>
    </row>
    <row r="84" spans="1:1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">
      <c r="A87" s="1"/>
      <c r="B87" s="1"/>
      <c r="C87" s="1"/>
      <c r="D87" s="1"/>
      <c r="E87" s="1"/>
      <c r="F87" s="1"/>
      <c r="G87" s="1"/>
      <c r="H87" s="1"/>
      <c r="I87" s="5"/>
      <c r="J87" s="1"/>
      <c r="K87" s="1"/>
    </row>
    <row r="88" spans="1:11" ht="15">
      <c r="A88" s="1"/>
      <c r="B88" s="1"/>
      <c r="C88" s="1"/>
      <c r="D88" s="1"/>
      <c r="E88" s="1"/>
      <c r="F88" s="1"/>
      <c r="G88" s="1"/>
      <c r="H88" s="1"/>
      <c r="I88" s="5"/>
      <c r="J88" s="1"/>
      <c r="K88" s="1"/>
    </row>
    <row r="89" spans="1:1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</sheetData>
  <sheetProtection/>
  <mergeCells count="36">
    <mergeCell ref="F35:F36"/>
    <mergeCell ref="E44:G44"/>
    <mergeCell ref="G35:G36"/>
    <mergeCell ref="A61:F61"/>
    <mergeCell ref="E47:G47"/>
    <mergeCell ref="E48:G48"/>
    <mergeCell ref="E58:G58"/>
    <mergeCell ref="E59:G59"/>
    <mergeCell ref="F50:F52"/>
    <mergeCell ref="B8:B9"/>
    <mergeCell ref="C8:C9"/>
    <mergeCell ref="D8:D9"/>
    <mergeCell ref="E8:E9"/>
    <mergeCell ref="I2:K2"/>
    <mergeCell ref="I8:I9"/>
    <mergeCell ref="H8:H9"/>
    <mergeCell ref="G8:G9"/>
    <mergeCell ref="F8:F9"/>
    <mergeCell ref="E12:G12"/>
    <mergeCell ref="E11:G11"/>
    <mergeCell ref="E21:E22"/>
    <mergeCell ref="J8:K8"/>
    <mergeCell ref="G15:G16"/>
    <mergeCell ref="F15:F16"/>
    <mergeCell ref="F17:F20"/>
    <mergeCell ref="G17:G20"/>
    <mergeCell ref="B64:C64"/>
    <mergeCell ref="I64:K64"/>
    <mergeCell ref="F28:F29"/>
    <mergeCell ref="G28:G29"/>
    <mergeCell ref="F26:F27"/>
    <mergeCell ref="G26:G27"/>
    <mergeCell ref="F31:F32"/>
    <mergeCell ref="G31:G32"/>
    <mergeCell ref="G50:G52"/>
    <mergeCell ref="E45:G45"/>
  </mergeCells>
  <printOptions/>
  <pageMargins left="0" right="0" top="0.7874015748031497" bottom="0.5905511811023623" header="0" footer="0"/>
  <pageSetup orientation="landscape" paperSize="9" scale="7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2021-08-18T12:27:36Z</cp:lastPrinted>
  <dcterms:created xsi:type="dcterms:W3CDTF">2010-05-26T13:46:29Z</dcterms:created>
  <dcterms:modified xsi:type="dcterms:W3CDTF">2021-08-18T12:28:45Z</dcterms:modified>
  <cp:category/>
  <cp:version/>
  <cp:contentType/>
  <cp:contentStatus/>
</cp:coreProperties>
</file>